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6750"/>
  </bookViews>
  <sheets>
    <sheet name="Capa" sheetId="29" r:id="rId1"/>
    <sheet name="Téc. Manutenção" sheetId="3" r:id="rId2"/>
    <sheet name="Téc. Interno" sheetId="15" r:id="rId3"/>
    <sheet name="Aux. Operações Campo" sheetId="8" r:id="rId4"/>
    <sheet name="Aux. Operações Almox." sheetId="25" r:id="rId5"/>
    <sheet name="Aux. Operações Almox. Emp." sheetId="26" r:id="rId6"/>
    <sheet name="Encarregados" sheetId="16" r:id="rId7"/>
    <sheet name="Encarregado-geral" sheetId="17" r:id="rId8"/>
    <sheet name="Empilhadeira" sheetId="21" r:id="rId9"/>
    <sheet name="Sistemas Log." sheetId="28" r:id="rId10"/>
    <sheet name="Zeladoria Sítios" sheetId="24" r:id="rId11"/>
    <sheet name="Inspeção Estruturas" sheetId="27" r:id="rId12"/>
    <sheet name="Implantação da Op." sheetId="23" r:id="rId13"/>
    <sheet name="Quadro Resumo" sheetId="7" r:id="rId14"/>
    <sheet name="Planilha de Apoio" sheetId="4"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3" i="7" l="1"/>
  <c r="F52" i="7"/>
  <c r="F51" i="7"/>
  <c r="C15" i="17"/>
  <c r="C16" i="26" l="1"/>
  <c r="C4" i="23" l="1"/>
  <c r="G163" i="4"/>
  <c r="G162" i="4"/>
  <c r="G164" i="4" s="1"/>
  <c r="G146" i="4"/>
  <c r="G145" i="4"/>
  <c r="G144" i="4"/>
  <c r="G143" i="4"/>
  <c r="G142" i="4"/>
  <c r="G165" i="4" l="1"/>
  <c r="C111" i="26" l="1"/>
  <c r="C111" i="25"/>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53" i="4" l="1"/>
  <c r="G154" i="4"/>
  <c r="G155" i="4"/>
  <c r="G156" i="4"/>
  <c r="G152" i="4"/>
  <c r="G170" i="4"/>
  <c r="G171" i="4"/>
  <c r="G172" i="4"/>
  <c r="G173" i="4"/>
  <c r="G174" i="4"/>
  <c r="G175" i="4"/>
  <c r="G176" i="4"/>
  <c r="G177" i="4"/>
  <c r="G178" i="4"/>
  <c r="G179" i="4"/>
  <c r="G180" i="4"/>
  <c r="G181" i="4"/>
  <c r="G182" i="4"/>
  <c r="G183" i="4"/>
  <c r="G184" i="4"/>
  <c r="G185" i="4"/>
  <c r="G186" i="4"/>
  <c r="G187" i="4"/>
  <c r="G188" i="4"/>
  <c r="G189" i="4"/>
  <c r="G190" i="4"/>
  <c r="G191" i="4"/>
  <c r="G192" i="4"/>
  <c r="G193" i="4"/>
  <c r="G194" i="4"/>
  <c r="G195" i="4"/>
  <c r="G196" i="4"/>
  <c r="G197" i="4"/>
  <c r="G198" i="4"/>
  <c r="G199" i="4"/>
  <c r="G200" i="4"/>
  <c r="G201" i="4"/>
  <c r="G202" i="4"/>
  <c r="G203" i="4"/>
  <c r="G204" i="4"/>
  <c r="G205" i="4"/>
  <c r="G206" i="4"/>
  <c r="G207" i="4"/>
  <c r="G208" i="4"/>
  <c r="G209" i="4"/>
  <c r="G210" i="4"/>
  <c r="G211" i="4"/>
  <c r="G212" i="4"/>
  <c r="G213" i="4"/>
  <c r="G214" i="4"/>
  <c r="G215" i="4"/>
  <c r="G216" i="4"/>
  <c r="G217" i="4"/>
  <c r="G218" i="4"/>
  <c r="G219" i="4"/>
  <c r="G220" i="4"/>
  <c r="G221" i="4"/>
  <c r="G222" i="4"/>
  <c r="G223" i="4"/>
  <c r="G224" i="4"/>
  <c r="G225" i="4"/>
  <c r="G226" i="4"/>
  <c r="G227" i="4"/>
  <c r="G228" i="4"/>
  <c r="G229" i="4"/>
  <c r="G230" i="4"/>
  <c r="G231" i="4"/>
  <c r="G169" i="4"/>
  <c r="G100" i="4" l="1"/>
  <c r="G101" i="4"/>
  <c r="G102" i="4"/>
  <c r="G103" i="4"/>
  <c r="G104" i="4"/>
  <c r="G105" i="4"/>
  <c r="G106" i="4"/>
  <c r="G107" i="4"/>
  <c r="G108" i="4"/>
  <c r="G109" i="4"/>
  <c r="G110" i="4"/>
  <c r="G111" i="4"/>
  <c r="G112" i="4"/>
  <c r="G113" i="4"/>
  <c r="G99" i="4"/>
  <c r="G147" i="4" l="1"/>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48" i="4"/>
  <c r="H36" i="7" l="1"/>
  <c r="C8" i="28"/>
  <c r="B11" i="28"/>
  <c r="C9" i="28" l="1"/>
  <c r="C10" i="28"/>
  <c r="C15" i="28" l="1"/>
  <c r="C14" i="28"/>
  <c r="C13" i="28"/>
  <c r="C12" i="28"/>
  <c r="C11" i="28"/>
  <c r="C16" i="28" s="1"/>
  <c r="C17" i="28" l="1"/>
  <c r="D17" i="7"/>
  <c r="C18" i="28"/>
  <c r="F24" i="7"/>
  <c r="H24" i="7" s="1"/>
  <c r="F23" i="7"/>
  <c r="H23" i="7" s="1"/>
  <c r="F22" i="7"/>
  <c r="H22" i="7" s="1"/>
  <c r="F21" i="7"/>
  <c r="C6" i="23"/>
  <c r="B20" i="27"/>
  <c r="C19" i="27"/>
  <c r="C18" i="27"/>
  <c r="B7" i="27"/>
  <c r="C6" i="27"/>
  <c r="C5" i="27"/>
  <c r="F25" i="7" l="1"/>
  <c r="H21" i="7"/>
  <c r="C11" i="27"/>
  <c r="C22" i="27"/>
  <c r="C7" i="27"/>
  <c r="C12" i="27" s="1"/>
  <c r="B31" i="27" s="1"/>
  <c r="C23" i="27"/>
  <c r="C9" i="27"/>
  <c r="C20" i="27"/>
  <c r="C25" i="27" s="1"/>
  <c r="B32" i="27" s="1"/>
  <c r="C24" i="27"/>
  <c r="C8" i="27"/>
  <c r="C10" i="27"/>
  <c r="C21" i="27"/>
  <c r="C42" i="24"/>
  <c r="C41" i="24"/>
  <c r="C30" i="24"/>
  <c r="C29" i="24"/>
  <c r="C18" i="24"/>
  <c r="C17" i="24"/>
  <c r="C6" i="24"/>
  <c r="C5" i="24"/>
  <c r="B43" i="24"/>
  <c r="B31" i="24"/>
  <c r="B19" i="24"/>
  <c r="D31" i="27" l="1"/>
  <c r="E31" i="27" s="1"/>
  <c r="D34" i="7"/>
  <c r="I34" i="7" s="1"/>
  <c r="J34" i="7" s="1"/>
  <c r="D32" i="27"/>
  <c r="E32" i="27" s="1"/>
  <c r="E33" i="27" s="1"/>
  <c r="D35" i="7"/>
  <c r="I35" i="7" s="1"/>
  <c r="J35" i="7" s="1"/>
  <c r="H25" i="7"/>
  <c r="D33" i="27" l="1"/>
  <c r="J36" i="7"/>
  <c r="C122" i="26"/>
  <c r="C127" i="26" s="1"/>
  <c r="C102" i="26"/>
  <c r="C68" i="26"/>
  <c r="C73" i="26" s="1"/>
  <c r="C41" i="26"/>
  <c r="C27" i="26"/>
  <c r="C25" i="26"/>
  <c r="C17" i="26"/>
  <c r="C133" i="26" s="1"/>
  <c r="C122" i="25"/>
  <c r="C127" i="25" s="1"/>
  <c r="C102" i="25"/>
  <c r="C68" i="25"/>
  <c r="C73" i="25" s="1"/>
  <c r="C41" i="25"/>
  <c r="C25" i="25"/>
  <c r="C27" i="25" s="1"/>
  <c r="C17" i="25"/>
  <c r="B16" i="4"/>
  <c r="E6" i="4"/>
  <c r="C51" i="26" s="1"/>
  <c r="E7" i="4"/>
  <c r="C51" i="25" s="1"/>
  <c r="C51" i="16" l="1"/>
  <c r="C51" i="15"/>
  <c r="D69" i="26"/>
  <c r="D84" i="26"/>
  <c r="D88" i="26"/>
  <c r="D67" i="26"/>
  <c r="D25" i="26"/>
  <c r="D71" i="26"/>
  <c r="D82" i="26"/>
  <c r="D86" i="26"/>
  <c r="D27" i="26"/>
  <c r="D70" i="26"/>
  <c r="D73" i="26"/>
  <c r="C135" i="26" s="1"/>
  <c r="D85" i="26"/>
  <c r="D26" i="26"/>
  <c r="D68" i="26"/>
  <c r="D72" i="26"/>
  <c r="D83" i="26"/>
  <c r="D87" i="26"/>
  <c r="D86" i="25"/>
  <c r="D82" i="25"/>
  <c r="D71" i="25"/>
  <c r="D27" i="25"/>
  <c r="D69" i="25"/>
  <c r="C133" i="25"/>
  <c r="D83" i="25"/>
  <c r="D68" i="25"/>
  <c r="D85" i="25"/>
  <c r="D73" i="25"/>
  <c r="C135" i="25" s="1"/>
  <c r="D70" i="25"/>
  <c r="D67" i="25"/>
  <c r="D88" i="25"/>
  <c r="D84" i="25"/>
  <c r="D26" i="25"/>
  <c r="D87" i="25"/>
  <c r="D72" i="25"/>
  <c r="D25" i="25"/>
  <c r="E16" i="4"/>
  <c r="C21" i="4" s="1"/>
  <c r="C16" i="8"/>
  <c r="C101" i="26" l="1"/>
  <c r="C103" i="26" s="1"/>
  <c r="C136" i="26"/>
  <c r="D41" i="26"/>
  <c r="C59" i="26" s="1"/>
  <c r="D38" i="26"/>
  <c r="D34" i="26"/>
  <c r="C58" i="26"/>
  <c r="D40" i="26"/>
  <c r="D36" i="26"/>
  <c r="D39" i="26"/>
  <c r="D35" i="26"/>
  <c r="D37" i="26"/>
  <c r="D33" i="26"/>
  <c r="C136" i="25"/>
  <c r="C101" i="25"/>
  <c r="C103" i="25" s="1"/>
  <c r="D40" i="25"/>
  <c r="D36" i="25"/>
  <c r="D41" i="25"/>
  <c r="C59" i="25" s="1"/>
  <c r="D34" i="25"/>
  <c r="D33" i="25"/>
  <c r="C58" i="25"/>
  <c r="D39" i="25"/>
  <c r="D35" i="25"/>
  <c r="D38" i="25"/>
  <c r="D37" i="25"/>
  <c r="D26" i="4" l="1"/>
  <c r="C48" i="16" s="1"/>
  <c r="C48" i="17" s="1"/>
  <c r="G43" i="7" l="1"/>
  <c r="G44" i="7" l="1"/>
  <c r="I44" i="7" s="1"/>
  <c r="J44" i="7" s="1"/>
  <c r="I43" i="7"/>
  <c r="J43" i="7" s="1"/>
  <c r="H30" i="7" l="1"/>
  <c r="H29" i="7"/>
  <c r="H14" i="7"/>
  <c r="E5" i="4" l="1"/>
  <c r="B7" i="24" l="1"/>
  <c r="C44" i="24" l="1"/>
  <c r="C43" i="24"/>
  <c r="C48" i="24" s="1"/>
  <c r="B56" i="24" s="1"/>
  <c r="C45" i="24"/>
  <c r="C47" i="24"/>
  <c r="C46" i="24"/>
  <c r="C32" i="24"/>
  <c r="C34" i="24"/>
  <c r="C33" i="24"/>
  <c r="C31" i="24"/>
  <c r="C36" i="24" s="1"/>
  <c r="B55" i="24" s="1"/>
  <c r="C35" i="24"/>
  <c r="C23" i="24"/>
  <c r="C21" i="24"/>
  <c r="C20" i="24"/>
  <c r="C22" i="24"/>
  <c r="C19" i="24"/>
  <c r="C24" i="24" s="1"/>
  <c r="B54" i="24" s="1"/>
  <c r="C8" i="24"/>
  <c r="C11" i="24"/>
  <c r="C9" i="24"/>
  <c r="C10" i="24"/>
  <c r="C7" i="24"/>
  <c r="C12" i="24" s="1"/>
  <c r="B53" i="24" s="1"/>
  <c r="B33" i="21"/>
  <c r="C30" i="21"/>
  <c r="B21" i="21"/>
  <c r="C16" i="21"/>
  <c r="C7" i="21"/>
  <c r="D53" i="24" l="1"/>
  <c r="D21" i="7"/>
  <c r="D56" i="24"/>
  <c r="E56" i="24" s="1"/>
  <c r="D24" i="7"/>
  <c r="D54" i="24"/>
  <c r="F54" i="24" s="1"/>
  <c r="D22" i="7"/>
  <c r="D55" i="24"/>
  <c r="D23" i="7"/>
  <c r="E54" i="24"/>
  <c r="C17" i="21"/>
  <c r="C18" i="21" s="1"/>
  <c r="C19" i="21" s="1"/>
  <c r="C31" i="21"/>
  <c r="C32" i="21"/>
  <c r="F56" i="24" l="1"/>
  <c r="D57" i="24"/>
  <c r="G23" i="7"/>
  <c r="I23" i="7"/>
  <c r="J23" i="7" s="1"/>
  <c r="G22" i="7"/>
  <c r="I22" i="7"/>
  <c r="J22" i="7" s="1"/>
  <c r="G21" i="7"/>
  <c r="I21" i="7"/>
  <c r="G24" i="7"/>
  <c r="I24" i="7"/>
  <c r="J24" i="7" s="1"/>
  <c r="E55" i="24"/>
  <c r="F55" i="24"/>
  <c r="C20" i="21"/>
  <c r="C21" i="21" s="1"/>
  <c r="C25" i="21"/>
  <c r="C35" i="21"/>
  <c r="C36" i="21"/>
  <c r="C37" i="21"/>
  <c r="C34" i="21"/>
  <c r="C33" i="21"/>
  <c r="C38" i="21" s="1"/>
  <c r="C24" i="21"/>
  <c r="C23" i="21"/>
  <c r="C26" i="21" l="1"/>
  <c r="I25" i="7"/>
  <c r="J21" i="7"/>
  <c r="J25" i="7" s="1"/>
  <c r="C22" i="21"/>
  <c r="G25" i="7"/>
  <c r="F53" i="24"/>
  <c r="F57" i="24" s="1"/>
  <c r="E53" i="24"/>
  <c r="E57" i="24" s="1"/>
  <c r="C42" i="21"/>
  <c r="C43" i="21" s="1"/>
  <c r="D30" i="7"/>
  <c r="G30" i="7" s="1"/>
  <c r="I30" i="7" s="1"/>
  <c r="J30" i="7" s="1"/>
  <c r="C41" i="21"/>
  <c r="D29" i="7"/>
  <c r="C44" i="21" l="1"/>
  <c r="C45" i="21"/>
  <c r="G232" i="4"/>
  <c r="G94" i="4"/>
  <c r="G157" i="4" l="1"/>
  <c r="G158" i="4" s="1"/>
  <c r="G95" i="4"/>
  <c r="C111" i="3" s="1"/>
  <c r="G233" i="4"/>
  <c r="C111" i="15" s="1"/>
  <c r="G148" i="4"/>
  <c r="C110" i="25" l="1"/>
  <c r="C110" i="26"/>
  <c r="C110" i="3"/>
  <c r="C110" i="8"/>
  <c r="B9" i="23" l="1"/>
  <c r="F14" i="7"/>
  <c r="C17" i="17"/>
  <c r="C122" i="17"/>
  <c r="C127" i="17" s="1"/>
  <c r="C102" i="17"/>
  <c r="C68" i="17"/>
  <c r="C73" i="17" s="1"/>
  <c r="C41" i="17"/>
  <c r="C25" i="17"/>
  <c r="C27" i="17" s="1"/>
  <c r="C17" i="16"/>
  <c r="B17" i="4" s="1"/>
  <c r="E17" i="4" s="1"/>
  <c r="C22" i="4" s="1"/>
  <c r="C122" i="16"/>
  <c r="C127" i="16" s="1"/>
  <c r="C102" i="16"/>
  <c r="C68" i="16"/>
  <c r="C73" i="16" s="1"/>
  <c r="C41" i="16"/>
  <c r="C25" i="16"/>
  <c r="C27" i="16" s="1"/>
  <c r="C122" i="15"/>
  <c r="C127" i="15" s="1"/>
  <c r="C102" i="15"/>
  <c r="C68" i="15"/>
  <c r="C73" i="15" s="1"/>
  <c r="C41" i="15"/>
  <c r="C25" i="15"/>
  <c r="C27" i="15" s="1"/>
  <c r="C17" i="15"/>
  <c r="C51" i="8"/>
  <c r="C51" i="3" l="1"/>
  <c r="C7" i="23"/>
  <c r="C8" i="23"/>
  <c r="D87" i="17"/>
  <c r="D83" i="17"/>
  <c r="D72" i="17"/>
  <c r="D68" i="17"/>
  <c r="D25" i="17"/>
  <c r="D86" i="17"/>
  <c r="D82" i="17"/>
  <c r="D71" i="17"/>
  <c r="D27" i="17"/>
  <c r="C133" i="17"/>
  <c r="D85" i="17"/>
  <c r="D73" i="17"/>
  <c r="C135" i="17" s="1"/>
  <c r="D70" i="17"/>
  <c r="D67" i="17"/>
  <c r="D88" i="17"/>
  <c r="D84" i="17"/>
  <c r="D69" i="17"/>
  <c r="D26" i="17"/>
  <c r="D67" i="16"/>
  <c r="D70" i="16"/>
  <c r="D73" i="16"/>
  <c r="C135" i="16" s="1"/>
  <c r="D85" i="16"/>
  <c r="C133" i="16"/>
  <c r="D27" i="16"/>
  <c r="D71" i="16"/>
  <c r="D82" i="16"/>
  <c r="D86" i="16"/>
  <c r="D25" i="16"/>
  <c r="D68" i="16"/>
  <c r="D72" i="16"/>
  <c r="D83" i="16"/>
  <c r="D87" i="16"/>
  <c r="D26" i="16"/>
  <c r="D69" i="16"/>
  <c r="D84" i="16"/>
  <c r="D88" i="16"/>
  <c r="D73" i="15"/>
  <c r="C135" i="15" s="1"/>
  <c r="D71" i="15"/>
  <c r="D82" i="15"/>
  <c r="D86" i="15"/>
  <c r="D67" i="15"/>
  <c r="D25" i="15"/>
  <c r="D68" i="15"/>
  <c r="D72" i="15"/>
  <c r="D83" i="15"/>
  <c r="D87" i="15"/>
  <c r="D70" i="15"/>
  <c r="D85" i="15"/>
  <c r="C133" i="15"/>
  <c r="D27" i="15"/>
  <c r="D26" i="15"/>
  <c r="D69" i="15"/>
  <c r="D84" i="15"/>
  <c r="D88" i="15"/>
  <c r="C9" i="23" l="1"/>
  <c r="C14" i="23" s="1"/>
  <c r="D39" i="7" s="1"/>
  <c r="I39" i="7" s="1"/>
  <c r="C12" i="23"/>
  <c r="C11" i="23"/>
  <c r="C13" i="23"/>
  <c r="C10" i="23"/>
  <c r="C101" i="17"/>
  <c r="C103" i="17" s="1"/>
  <c r="C136" i="17"/>
  <c r="D37" i="17"/>
  <c r="D33" i="17"/>
  <c r="D40" i="17"/>
  <c r="D36" i="17"/>
  <c r="C58" i="17"/>
  <c r="D39" i="17"/>
  <c r="D35" i="17"/>
  <c r="D41" i="17"/>
  <c r="C59" i="17" s="1"/>
  <c r="D38" i="17"/>
  <c r="D34" i="17"/>
  <c r="C136" i="16"/>
  <c r="C101" i="16"/>
  <c r="C103" i="16" s="1"/>
  <c r="D41" i="16"/>
  <c r="C59" i="16" s="1"/>
  <c r="D38" i="16"/>
  <c r="D34" i="16"/>
  <c r="D37" i="16"/>
  <c r="D33" i="16"/>
  <c r="D40" i="16"/>
  <c r="D36" i="16"/>
  <c r="C58" i="16"/>
  <c r="D39" i="16"/>
  <c r="D35" i="16"/>
  <c r="D41" i="15"/>
  <c r="C59" i="15" s="1"/>
  <c r="D38" i="15"/>
  <c r="D34" i="15"/>
  <c r="D37" i="15"/>
  <c r="D33" i="15"/>
  <c r="D36" i="15"/>
  <c r="D39" i="15"/>
  <c r="D40" i="15"/>
  <c r="C58" i="15"/>
  <c r="D35" i="15"/>
  <c r="C136" i="15"/>
  <c r="C101" i="15"/>
  <c r="C103" i="15" s="1"/>
  <c r="D29" i="4"/>
  <c r="I40" i="7" l="1"/>
  <c r="J39" i="7"/>
  <c r="C50" i="25"/>
  <c r="C50" i="26"/>
  <c r="C50" i="15"/>
  <c r="C50" i="3"/>
  <c r="C50" i="8"/>
  <c r="G17" i="7"/>
  <c r="C122" i="8"/>
  <c r="C127" i="8" s="1"/>
  <c r="C102" i="8"/>
  <c r="C68" i="8"/>
  <c r="C73" i="8" s="1"/>
  <c r="C41" i="8"/>
  <c r="C25" i="8"/>
  <c r="C27" i="8" s="1"/>
  <c r="C17" i="8"/>
  <c r="D82" i="8" s="1"/>
  <c r="J40" i="7" l="1"/>
  <c r="G18" i="7"/>
  <c r="I17" i="7"/>
  <c r="D27" i="8"/>
  <c r="D37" i="8" s="1"/>
  <c r="D68" i="8"/>
  <c r="D85" i="8"/>
  <c r="D25" i="8"/>
  <c r="D69" i="8"/>
  <c r="D86" i="8"/>
  <c r="D26" i="8"/>
  <c r="D70" i="8"/>
  <c r="D87" i="8"/>
  <c r="D71" i="8"/>
  <c r="D88" i="8"/>
  <c r="D72" i="8"/>
  <c r="D83" i="8"/>
  <c r="D84" i="8"/>
  <c r="D40" i="8"/>
  <c r="D34" i="8"/>
  <c r="D67" i="8"/>
  <c r="D73" i="8"/>
  <c r="C135" i="8" s="1"/>
  <c r="C133" i="8"/>
  <c r="I18" i="7" l="1"/>
  <c r="J17" i="7"/>
  <c r="J18" i="7" s="1"/>
  <c r="D35" i="8"/>
  <c r="D38" i="8"/>
  <c r="D41" i="8"/>
  <c r="C59" i="8" s="1"/>
  <c r="D36" i="8"/>
  <c r="C58" i="8"/>
  <c r="I36" i="7"/>
  <c r="D33" i="8"/>
  <c r="D39" i="8"/>
  <c r="C101" i="8"/>
  <c r="C103" i="8" s="1"/>
  <c r="C136" i="8"/>
  <c r="C38" i="4" l="1"/>
  <c r="D38" i="4" s="1"/>
  <c r="C37" i="4"/>
  <c r="D37" i="4" s="1"/>
  <c r="C36" i="4"/>
  <c r="D36" i="4" s="1"/>
  <c r="C35" i="4"/>
  <c r="D35" i="4" s="1"/>
  <c r="C33" i="4"/>
  <c r="D33" i="4" s="1"/>
  <c r="C34" i="4"/>
  <c r="D34" i="4" s="1"/>
  <c r="B42" i="4" l="1"/>
  <c r="C42" i="4" s="1"/>
  <c r="C109" i="26" l="1"/>
  <c r="C113" i="26" s="1"/>
  <c r="C137" i="26" s="1"/>
  <c r="C109" i="25"/>
  <c r="C113" i="25" s="1"/>
  <c r="C137" i="25" s="1"/>
  <c r="C109" i="17"/>
  <c r="C113" i="17" s="1"/>
  <c r="C137" i="17" s="1"/>
  <c r="C109" i="15"/>
  <c r="C113" i="15" s="1"/>
  <c r="C137" i="15" s="1"/>
  <c r="C109" i="16"/>
  <c r="C113" i="16" s="1"/>
  <c r="C137" i="16" s="1"/>
  <c r="C109" i="8"/>
  <c r="C113" i="8" s="1"/>
  <c r="C137" i="8" s="1"/>
  <c r="C109" i="3"/>
  <c r="C113" i="3" s="1"/>
  <c r="C137" i="3" s="1"/>
  <c r="C122" i="3" l="1"/>
  <c r="C127" i="3" s="1"/>
  <c r="C102" i="3"/>
  <c r="C68" i="3"/>
  <c r="C73" i="3"/>
  <c r="D25" i="4"/>
  <c r="B15" i="4"/>
  <c r="E15" i="4" s="1"/>
  <c r="C20" i="4" s="1"/>
  <c r="E11" i="4"/>
  <c r="C41" i="3"/>
  <c r="C48" i="25" l="1"/>
  <c r="C48" i="26"/>
  <c r="C48" i="15"/>
  <c r="B22" i="4"/>
  <c r="D22" i="4" s="1"/>
  <c r="C47" i="16" s="1"/>
  <c r="C52" i="16" s="1"/>
  <c r="B21" i="4"/>
  <c r="D21" i="4" s="1"/>
  <c r="C48" i="8"/>
  <c r="C52" i="8" s="1"/>
  <c r="C48" i="3"/>
  <c r="C52" i="3" s="1"/>
  <c r="B20" i="4"/>
  <c r="D20" i="4" s="1"/>
  <c r="C47" i="15" s="1"/>
  <c r="C52" i="15" l="1"/>
  <c r="C60" i="15" s="1"/>
  <c r="C61" i="15" s="1"/>
  <c r="C134" i="15" s="1"/>
  <c r="C138" i="15" s="1"/>
  <c r="C47" i="25"/>
  <c r="C52" i="25" s="1"/>
  <c r="C60" i="25" s="1"/>
  <c r="C61" i="25" s="1"/>
  <c r="C47" i="26"/>
  <c r="C52" i="26" s="1"/>
  <c r="C60" i="26" s="1"/>
  <c r="C61" i="26" s="1"/>
  <c r="C60" i="16"/>
  <c r="C61" i="16" s="1"/>
  <c r="C52" i="17"/>
  <c r="C60" i="17" s="1"/>
  <c r="C61" i="17" s="1"/>
  <c r="C60" i="8"/>
  <c r="C61" i="8" s="1"/>
  <c r="C60" i="3"/>
  <c r="C25" i="3"/>
  <c r="C27" i="3" s="1"/>
  <c r="C17" i="3"/>
  <c r="C134" i="26" l="1"/>
  <c r="C138" i="26" s="1"/>
  <c r="D121" i="26"/>
  <c r="C134" i="25"/>
  <c r="C138" i="25" s="1"/>
  <c r="D121" i="25"/>
  <c r="D121" i="15"/>
  <c r="D121" i="17"/>
  <c r="C134" i="17"/>
  <c r="C138" i="17" s="1"/>
  <c r="C134" i="16"/>
  <c r="C138" i="16" s="1"/>
  <c r="D121" i="16"/>
  <c r="D119" i="15"/>
  <c r="D120" i="15" s="1"/>
  <c r="D122" i="15" s="1"/>
  <c r="D121" i="8"/>
  <c r="C134" i="8"/>
  <c r="C138" i="8" s="1"/>
  <c r="D83" i="3"/>
  <c r="D69" i="3"/>
  <c r="D68" i="3"/>
  <c r="D84" i="3"/>
  <c r="D70" i="3"/>
  <c r="D85" i="3"/>
  <c r="D71" i="3"/>
  <c r="D86" i="3"/>
  <c r="D72" i="3"/>
  <c r="D67" i="3"/>
  <c r="D88" i="3"/>
  <c r="C136" i="3" s="1"/>
  <c r="D82" i="3"/>
  <c r="C133" i="3"/>
  <c r="D87" i="3"/>
  <c r="D73" i="3"/>
  <c r="C135" i="3" s="1"/>
  <c r="D27" i="3"/>
  <c r="D39" i="3" s="1"/>
  <c r="D26" i="3"/>
  <c r="D25" i="3"/>
  <c r="D119" i="25" l="1"/>
  <c r="D120" i="25" s="1"/>
  <c r="D124" i="25" s="1"/>
  <c r="D119" i="26"/>
  <c r="D119" i="17"/>
  <c r="D123" i="15"/>
  <c r="D126" i="15"/>
  <c r="D119" i="16"/>
  <c r="D120" i="16" s="1"/>
  <c r="D124" i="15"/>
  <c r="D125" i="15"/>
  <c r="D38" i="3"/>
  <c r="D37" i="3"/>
  <c r="D119" i="8"/>
  <c r="D120" i="8" s="1"/>
  <c r="C58" i="3"/>
  <c r="D36" i="3"/>
  <c r="D35" i="3"/>
  <c r="D41" i="3"/>
  <c r="C59" i="3" s="1"/>
  <c r="D33" i="3"/>
  <c r="D40" i="3"/>
  <c r="D34" i="3"/>
  <c r="D125" i="25" l="1"/>
  <c r="D123" i="25"/>
  <c r="D126" i="25"/>
  <c r="D122" i="25"/>
  <c r="D120" i="26"/>
  <c r="D124" i="26" s="1"/>
  <c r="D127" i="15"/>
  <c r="C139" i="15" s="1"/>
  <c r="C140" i="15" s="1"/>
  <c r="D6" i="7" s="1"/>
  <c r="G6" i="7" s="1"/>
  <c r="I6" i="7" s="1"/>
  <c r="J6" i="7" s="1"/>
  <c r="D123" i="16"/>
  <c r="D126" i="16"/>
  <c r="D122" i="16"/>
  <c r="D124" i="16"/>
  <c r="D125" i="16"/>
  <c r="D120" i="17"/>
  <c r="D126" i="17" s="1"/>
  <c r="C61" i="3"/>
  <c r="D125" i="8"/>
  <c r="D123" i="8"/>
  <c r="D124" i="8"/>
  <c r="D126" i="8"/>
  <c r="D122" i="8"/>
  <c r="C101" i="3"/>
  <c r="C103" i="3" s="1"/>
  <c r="D127" i="25" l="1"/>
  <c r="C139" i="25" s="1"/>
  <c r="C140" i="25" s="1"/>
  <c r="C142" i="25" s="1"/>
  <c r="D125" i="26"/>
  <c r="D123" i="26"/>
  <c r="D122" i="26"/>
  <c r="D126" i="26"/>
  <c r="C142" i="15"/>
  <c r="C134" i="3"/>
  <c r="C138" i="3" s="1"/>
  <c r="D123" i="17"/>
  <c r="D127" i="16"/>
  <c r="C139" i="16" s="1"/>
  <c r="C140" i="16" s="1"/>
  <c r="D125" i="17"/>
  <c r="D124" i="17"/>
  <c r="D122" i="17"/>
  <c r="D127" i="8"/>
  <c r="C139" i="8" s="1"/>
  <c r="C140" i="8" s="1"/>
  <c r="D121" i="3"/>
  <c r="D127" i="26" l="1"/>
  <c r="C139" i="26" s="1"/>
  <c r="C140" i="26" s="1"/>
  <c r="C142" i="26" s="1"/>
  <c r="D9" i="7"/>
  <c r="G9" i="7" s="1"/>
  <c r="I9" i="7" s="1"/>
  <c r="J9" i="7" s="1"/>
  <c r="D7" i="7"/>
  <c r="G7" i="7" s="1"/>
  <c r="I7" i="7" s="1"/>
  <c r="J7" i="7" s="1"/>
  <c r="C142" i="8"/>
  <c r="D8" i="7"/>
  <c r="D11" i="7"/>
  <c r="G11" i="7" s="1"/>
  <c r="I11" i="7" s="1"/>
  <c r="J11" i="7" s="1"/>
  <c r="D12" i="7"/>
  <c r="G12" i="7" s="1"/>
  <c r="I12" i="7" s="1"/>
  <c r="J12" i="7" s="1"/>
  <c r="C142" i="16"/>
  <c r="D119" i="3"/>
  <c r="D120" i="3" s="1"/>
  <c r="D125" i="3" s="1"/>
  <c r="D127" i="17"/>
  <c r="C139" i="17" s="1"/>
  <c r="C140" i="17" s="1"/>
  <c r="D10" i="7" l="1"/>
  <c r="G10" i="7" s="1"/>
  <c r="I10" i="7" s="1"/>
  <c r="J10" i="7" s="1"/>
  <c r="D13" i="7"/>
  <c r="G13" i="7" s="1"/>
  <c r="I13" i="7" s="1"/>
  <c r="J13" i="7" s="1"/>
  <c r="C142" i="17"/>
  <c r="D124" i="3"/>
  <c r="D122" i="3"/>
  <c r="D126" i="3"/>
  <c r="D123" i="3"/>
  <c r="D127" i="3" l="1"/>
  <c r="C139" i="3" s="1"/>
  <c r="C140" i="3" s="1"/>
  <c r="G8" i="7"/>
  <c r="I8" i="7" s="1"/>
  <c r="J8" i="7" s="1"/>
  <c r="C142" i="3" l="1"/>
  <c r="D5" i="7"/>
  <c r="G5" i="7" s="1"/>
  <c r="I5" i="7" s="1"/>
  <c r="J5" i="7" s="1"/>
  <c r="J14" i="7" s="1"/>
  <c r="H51" i="7" l="1"/>
  <c r="G14" i="7"/>
  <c r="I14" i="7"/>
  <c r="G51" i="7" s="1"/>
  <c r="G29" i="7" l="1"/>
  <c r="I29" i="7" l="1"/>
  <c r="J29" i="7" s="1"/>
  <c r="J31" i="7" s="1"/>
  <c r="G31" i="7"/>
  <c r="G45" i="7" s="1"/>
  <c r="H52" i="7" l="1"/>
  <c r="H53" i="7" s="1"/>
  <c r="J45" i="7"/>
  <c r="I31" i="7"/>
  <c r="I45" i="7" l="1"/>
  <c r="K40" i="7" s="1"/>
  <c r="G52" i="7"/>
  <c r="G53" i="7" s="1"/>
  <c r="K21" i="7"/>
  <c r="K14" i="7" l="1"/>
  <c r="K5" i="7"/>
  <c r="K36" i="7"/>
  <c r="K29" i="7"/>
  <c r="K25" i="7"/>
  <c r="K6" i="7"/>
  <c r="K44" i="7"/>
  <c r="K13" i="7"/>
  <c r="K9" i="7"/>
  <c r="K43" i="7"/>
  <c r="K17" i="7"/>
  <c r="K18" i="7"/>
  <c r="K10" i="7"/>
  <c r="K24" i="7"/>
  <c r="K45" i="7"/>
  <c r="K11" i="7"/>
  <c r="K39" i="7"/>
  <c r="K34" i="7"/>
  <c r="K8" i="7"/>
  <c r="K30" i="7"/>
  <c r="K23" i="7"/>
  <c r="K31" i="7"/>
  <c r="K22" i="7"/>
  <c r="K12" i="7"/>
  <c r="K35" i="7"/>
  <c r="K7" i="7"/>
</calcChain>
</file>

<file path=xl/sharedStrings.xml><?xml version="1.0" encoding="utf-8"?>
<sst xmlns="http://schemas.openxmlformats.org/spreadsheetml/2006/main" count="2244" uniqueCount="644">
  <si>
    <t>Base de cálculo</t>
  </si>
  <si>
    <t>Percentual</t>
  </si>
  <si>
    <t>Categoria</t>
  </si>
  <si>
    <t>Valor</t>
  </si>
  <si>
    <t>Adicional Noturno</t>
  </si>
  <si>
    <t>Total</t>
  </si>
  <si>
    <t>Férias</t>
  </si>
  <si>
    <t>SEBRAE</t>
  </si>
  <si>
    <t>INCRA</t>
  </si>
  <si>
    <t>FGTS</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</si>
  <si>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</si>
  <si>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</si>
  <si>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</si>
  <si>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</si>
  <si>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</si>
  <si>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</si>
  <si>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</si>
  <si>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</si>
  <si>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</si>
  <si>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</si>
  <si>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</si>
  <si>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</si>
  <si>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</si>
  <si>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Custo anual</t>
  </si>
  <si>
    <t>Insumos Diversos</t>
  </si>
  <si>
    <t>Custos Indiretos, Tributos e Lucro</t>
  </si>
  <si>
    <t>Custos Indiretos</t>
  </si>
  <si>
    <t>Tributos</t>
  </si>
  <si>
    <t>Lucro</t>
  </si>
  <si>
    <t xml:space="preserve">UNIFORMES - COMPOSIÇÃO - VALOR ANUAL </t>
  </si>
  <si>
    <t>Item</t>
  </si>
  <si>
    <t>qte</t>
  </si>
  <si>
    <t>Vr. Unitario</t>
  </si>
  <si>
    <t>Calça</t>
  </si>
  <si>
    <t>Camisa</t>
  </si>
  <si>
    <t>Sapato</t>
  </si>
  <si>
    <t xml:space="preserve">Custo anual por Pessoa  </t>
  </si>
  <si>
    <t>UNIFORMES</t>
  </si>
  <si>
    <t xml:space="preserve">Custo mensal </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</si>
  <si>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</si>
  <si>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</si>
  <si>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</si>
  <si>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</si>
  <si>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</si>
  <si>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</si>
  <si>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</si>
  <si>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</si>
  <si>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</si>
  <si>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</si>
  <si>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</si>
  <si>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</si>
  <si>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</si>
  <si>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</si>
  <si>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</si>
  <si>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</si>
  <si>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</si>
  <si>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</si>
  <si>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</si>
  <si>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</si>
  <si>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</si>
  <si>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</si>
  <si>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</si>
  <si>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</si>
  <si>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</si>
  <si>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</si>
  <si>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</si>
  <si>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</si>
  <si>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</si>
  <si>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</si>
  <si>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H</t>
  </si>
  <si>
    <t xml:space="preserve">Total </t>
  </si>
  <si>
    <t>Submódulo 2.3 - Benefícios Mensais e Diários.</t>
  </si>
  <si>
    <t>2.3</t>
  </si>
  <si>
    <t>Benefícios Mensais e Diários</t>
  </si>
  <si>
    <t>Transporte</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</si>
  <si>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</si>
  <si>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</si>
  <si>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</si>
  <si>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</si>
  <si>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</si>
  <si>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</si>
  <si>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</si>
  <si>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</si>
  <si>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</si>
  <si>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</si>
  <si>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</si>
  <si>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</si>
  <si>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</si>
  <si>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</si>
  <si>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Licença-Paternidade</t>
  </si>
  <si>
    <t>Ausência por acidente de trabalho</t>
  </si>
  <si>
    <t>Afastamento Maternidade</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</si>
  <si>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</si>
  <si>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</si>
  <si>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</si>
  <si>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</si>
  <si>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</si>
  <si>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</si>
  <si>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</si>
  <si>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</si>
  <si>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</si>
  <si>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</si>
  <si>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</si>
  <si>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</si>
  <si>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</si>
  <si>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</si>
  <si>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</si>
  <si>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</si>
  <si>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MODELO PARA A CONSOLIDAÇÃO E APRESENTAÇÃO DE PROPOSTAS</t>
  </si>
  <si>
    <t>Com ajustes após publicação da Lei n° 13.467, de 2017.</t>
  </si>
  <si>
    <t>Intervalo para repouso e alimentação</t>
  </si>
  <si>
    <t>Categoria/cargo</t>
  </si>
  <si>
    <t>PIS</t>
  </si>
  <si>
    <t>COFINS</t>
  </si>
  <si>
    <t>C.1. Tributos Federais</t>
  </si>
  <si>
    <t>C.2. Tributos Estaduais (ICMS)</t>
  </si>
  <si>
    <t>C.3. Tributos Municipais (ISS)</t>
  </si>
  <si>
    <t>CCT:</t>
  </si>
  <si>
    <t>Cat. Profissional:</t>
  </si>
  <si>
    <t>CBO:</t>
  </si>
  <si>
    <t>Auxílio-Refeição</t>
  </si>
  <si>
    <t>Ticket cesta / cartão alimentação magnético</t>
  </si>
  <si>
    <t>Assistência odont.</t>
  </si>
  <si>
    <t>Cinto</t>
  </si>
  <si>
    <t>Quadro Resumo Custos</t>
  </si>
  <si>
    <t>Unidade de medida</t>
  </si>
  <si>
    <t>Valor Mensal do Serviço</t>
  </si>
  <si>
    <t>Valor Total Anual do Serviço</t>
  </si>
  <si>
    <t>posto</t>
  </si>
  <si>
    <t>Valor Unitário Posto</t>
  </si>
  <si>
    <t>Quantidade Posto / Mês</t>
  </si>
  <si>
    <t>Benefício</t>
  </si>
  <si>
    <t>CESTA BÁSICA</t>
  </si>
  <si>
    <t>Valor mensal</t>
  </si>
  <si>
    <t>DIÁRIAS</t>
  </si>
  <si>
    <t xml:space="preserve">por dia </t>
  </si>
  <si>
    <t>Dias estimados</t>
  </si>
  <si>
    <t>Diárias (estimativa de 30 dias em campo, a ser descontado qdo. Não efetivado)</t>
  </si>
  <si>
    <t>Técnico de Campo</t>
  </si>
  <si>
    <t>Ticket cesta</t>
  </si>
  <si>
    <t>Subtotal</t>
  </si>
  <si>
    <t>Técnico</t>
  </si>
  <si>
    <t>Custos</t>
  </si>
  <si>
    <t xml:space="preserve">Percentuais e Valores </t>
  </si>
  <si>
    <t xml:space="preserve">Valor (R$) </t>
  </si>
  <si>
    <t>1.1. CUSTOS FIXOS – CF</t>
  </si>
  <si>
    <t>2.1. CUSTOS VARIÁVEIS – CV</t>
  </si>
  <si>
    <t>2.1.1. Manutenção (peças, acessórios, mão de obra)</t>
  </si>
  <si>
    <t>2.1.3. Óleo carter</t>
  </si>
  <si>
    <t>2.1.4. Lavagens e graxas</t>
  </si>
  <si>
    <t>2.2 - Despesas Administrativas/Operacionais</t>
  </si>
  <si>
    <t>2.3. Lucro sobre o Custo Variável</t>
  </si>
  <si>
    <t>2.4. Tributos:</t>
  </si>
  <si>
    <t xml:space="preserve">       2.4.1 - Tributos Federais (PIS e COFINS)</t>
  </si>
  <si>
    <t xml:space="preserve">        2.4.2 - Tributos Estaduais (especificar)</t>
  </si>
  <si>
    <t xml:space="preserve">        2.4.3 - Tributos Municipais (ISS)</t>
  </si>
  <si>
    <t xml:space="preserve">        2.4.4 - Outros Tributos (especificar)</t>
  </si>
  <si>
    <t>TOTAL</t>
  </si>
  <si>
    <t>POSTOS DE TRABALHO</t>
  </si>
  <si>
    <t>Valor Unitário</t>
  </si>
  <si>
    <t>Quantidade total / Mês</t>
  </si>
  <si>
    <t>#</t>
  </si>
  <si>
    <t>2.1.2. Combustível/bateria</t>
  </si>
  <si>
    <t>2.1.5. Pneus/rodas</t>
  </si>
  <si>
    <t xml:space="preserve">2.1.6. Outros (especificar) </t>
  </si>
  <si>
    <t>EQUIPAMENTOS DE MOVIMENTAÇÃO</t>
  </si>
  <si>
    <t>Diária</t>
  </si>
  <si>
    <t xml:space="preserve">Subtotal </t>
  </si>
  <si>
    <t>FORMAÇÃO DE PREÇOS – Empilhadeira de Armazém (Não Dedicada)</t>
  </si>
  <si>
    <t>2.  PREÇO MENSAL VARIÁVEL ESTIMADO</t>
  </si>
  <si>
    <t>Empilhadeira não dedicada - Variável (estimado)</t>
  </si>
  <si>
    <t>SOLUÇÃO DE SISTEMAS LOGÍSTICOS INTEGRADOS</t>
  </si>
  <si>
    <t>Descrição</t>
  </si>
  <si>
    <t>Mensalidade</t>
  </si>
  <si>
    <t>TOTAL GERAL</t>
  </si>
  <si>
    <t>Unidade</t>
  </si>
  <si>
    <t>Val. Unitário Médio</t>
  </si>
  <si>
    <t>Quantidade</t>
  </si>
  <si>
    <t>Val. Total</t>
  </si>
  <si>
    <t>Alicate de Pressão</t>
  </si>
  <si>
    <t>Arco de Serra</t>
  </si>
  <si>
    <t>Caixa Organizadora de Ferramentas</t>
  </si>
  <si>
    <t>Cavadeira Articulada</t>
  </si>
  <si>
    <t>Lanterna</t>
  </si>
  <si>
    <t>Marreta</t>
  </si>
  <si>
    <t>Martelo</t>
  </si>
  <si>
    <t>Pá</t>
  </si>
  <si>
    <t>Roçadeira Multi Uso</t>
  </si>
  <si>
    <t>Rádio Walk Talk</t>
  </si>
  <si>
    <t>Par</t>
  </si>
  <si>
    <t>Equipamentos - Conjunto de Ferramentas de Manutenção</t>
  </si>
  <si>
    <t>Capacete de Proteção</t>
  </si>
  <si>
    <t>Luva de couro</t>
  </si>
  <si>
    <t>Óculos de segurança</t>
  </si>
  <si>
    <t>Prancheta</t>
  </si>
  <si>
    <t>Materiais - EPIs</t>
  </si>
  <si>
    <t>Meia</t>
  </si>
  <si>
    <t>Blazer/casaco</t>
  </si>
  <si>
    <t>Outros (especificar) - outros materiais</t>
  </si>
  <si>
    <t>Outros (especificar) - EPIs</t>
  </si>
  <si>
    <t>1. PREÇO MENSAL FIXO</t>
  </si>
  <si>
    <t>1.1.1. Locação (ou Disponibilização de propriedade + Custo de Capital + Seguro)</t>
  </si>
  <si>
    <t>1.1.2. Outros (especificar) Operador Salário e Encargos Sociais</t>
  </si>
  <si>
    <t>Estimativa de diárias sequênciais por mês</t>
  </si>
  <si>
    <t>Frete médio (levar e buscar uma vez por mês)</t>
  </si>
  <si>
    <t>Estimativa mensal</t>
  </si>
  <si>
    <t>Custo Total Mensal</t>
  </si>
  <si>
    <t>Custo da diária c/ Operador</t>
  </si>
  <si>
    <t>PREÇO DA DIÁRIA FINAL</t>
  </si>
  <si>
    <t>3.  FRETE MÉDIO</t>
  </si>
  <si>
    <t>3.1. CUSTO</t>
  </si>
  <si>
    <t>2.1.1. Frete médio para o depósito em SJC</t>
  </si>
  <si>
    <t>Total frete</t>
  </si>
  <si>
    <t>ESTIMATIVA DE DEMANDA MENSAL</t>
  </si>
  <si>
    <t>Quantidade estimada / Mês</t>
  </si>
  <si>
    <t>Valor Anual do Serviço</t>
  </si>
  <si>
    <t>Frete do equipamento - Variável (estimado)</t>
  </si>
  <si>
    <t>Viagem</t>
  </si>
  <si>
    <t>Quantidade total / Ano</t>
  </si>
  <si>
    <t>Acondicionamento</t>
  </si>
  <si>
    <t>Vr. Unitário adotado</t>
  </si>
  <si>
    <t>Quantidade Posto / Ano</t>
  </si>
  <si>
    <t>Quantidade estimada / Ano</t>
  </si>
  <si>
    <t>Despesas Extraordinárias</t>
  </si>
  <si>
    <t>Valor médio por mês</t>
  </si>
  <si>
    <t>Itens de custo</t>
  </si>
  <si>
    <t>a</t>
  </si>
  <si>
    <t>b</t>
  </si>
  <si>
    <t>c</t>
  </si>
  <si>
    <t>d</t>
  </si>
  <si>
    <t>e</t>
  </si>
  <si>
    <t>f</t>
  </si>
  <si>
    <t>g</t>
  </si>
  <si>
    <t>h</t>
  </si>
  <si>
    <t>i</t>
  </si>
  <si>
    <t>j</t>
  </si>
  <si>
    <t>k</t>
  </si>
  <si>
    <t>l</t>
  </si>
  <si>
    <t>m</t>
  </si>
  <si>
    <t>n</t>
  </si>
  <si>
    <t>o</t>
  </si>
  <si>
    <t>p</t>
  </si>
  <si>
    <t>s</t>
  </si>
  <si>
    <t>t</t>
  </si>
  <si>
    <t>ITEM</t>
  </si>
  <si>
    <t>UNIDADE DE MEDIDA</t>
  </si>
  <si>
    <t>VALOR TOTAL ANUAL DO SERVIÇO (R$)</t>
  </si>
  <si>
    <t>serviço</t>
  </si>
  <si>
    <t>DESCRIÇÃO/ ESPECIFICAÇÃO</t>
  </si>
  <si>
    <t>ITENS DE CUSTO</t>
  </si>
  <si>
    <t>QUADRO RESUMO DOS ITENS DA LICITAÇÃO</t>
  </si>
  <si>
    <t>Gratificação de Função</t>
  </si>
  <si>
    <t xml:space="preserve">Salário-Base </t>
  </si>
  <si>
    <t>Supervisor/gerente</t>
  </si>
  <si>
    <t>Valor Total por Empregado Mensal (EM CAMPO)</t>
  </si>
  <si>
    <t>Outros (especificar) Gratificação por acumulo de função p/ dirigir durante serviço de campo - 40%</t>
  </si>
  <si>
    <t>SINDEEPRES E SINDEPRESTEM -LOGÍSTICA 2021</t>
  </si>
  <si>
    <t>Auxiliar de Operações (condutor)</t>
  </si>
  <si>
    <t>Supervisor de Almoxarifado</t>
  </si>
  <si>
    <t>Auxiliar de Operações (almoxarifado)</t>
  </si>
  <si>
    <t>Supervisor Técnico de Manutenção</t>
  </si>
  <si>
    <t>Supervisor de Operações (logística de campo)</t>
  </si>
  <si>
    <t>Técnico Interno</t>
  </si>
  <si>
    <t>SINTEC-SP E FECOMERCIO-SP 2020/2021</t>
  </si>
  <si>
    <t>Aux. Operações</t>
  </si>
  <si>
    <t>VALOR ANUAL DO TÉCNICO EM CAMPO</t>
  </si>
  <si>
    <t>Supervisores</t>
  </si>
  <si>
    <t>Aux. Operações/ Técnicos</t>
  </si>
  <si>
    <t>Todos</t>
  </si>
  <si>
    <t>Diárias (estimativa de 5 dias em campo/mês, a ser descontado qdo. Não efetivado)</t>
  </si>
  <si>
    <t>Técnicos internos</t>
  </si>
  <si>
    <t>Aux. Op. (almoxarifado)</t>
  </si>
  <si>
    <t>Técnicos de campo/ Aux. Op.</t>
  </si>
  <si>
    <t>VALOR ANUAL DO TÉCNICO INTERNO</t>
  </si>
  <si>
    <t xml:space="preserve">VALOR ANUAL DO AUX. OP. EM CAMPO </t>
  </si>
  <si>
    <t>SINDICATO DOS CONDOMINIOS DE PR. E EDIF. COM. IND. RES. E MISTOS INTERM.DO EST.DE SAO PAULO (CNPJ n. 03.547.186/0001-91) e SINDICATO DOS ADMINISTRADORES NO ESTADO DE SAO PAULO (CNPJ n. 54.751.375/0001-12) - 2020/2021</t>
  </si>
  <si>
    <t xml:space="preserve">Outros (especificar) </t>
  </si>
  <si>
    <t>Diárias (estimativa de 7 dias em campo/mês, a ser descontado qdo. Não efetivado)</t>
  </si>
  <si>
    <t>4141-10</t>
  </si>
  <si>
    <t>Auxiliar de Operações (campo)</t>
  </si>
  <si>
    <t>Auxiliar de Operações (almoxarifado c/ grat. p/ operar empilhadeira)</t>
  </si>
  <si>
    <t xml:space="preserve">VALOR ANUAL DO GERENTE </t>
  </si>
  <si>
    <t>Auxiliar de Operações (almoxarifado/ op. emp.)</t>
  </si>
  <si>
    <t>Gerente de Projetos e Manutenção</t>
  </si>
  <si>
    <t>Carpintaria - Preparação, montagem, Instalação e reparo de cercados, trabalhos em madeira/carpintaria, e outros similares.</t>
  </si>
  <si>
    <t>Servente de pedreiro - Escavações manuais, e outros similares</t>
  </si>
  <si>
    <t>Pedreiro - Preparação e aplicação de massa cimentícia, preparação de fundamento/alicerce para instalar PCDs, e outros similares.</t>
  </si>
  <si>
    <t>Pinturas - Pinturas e preparações de pinturas, e outros similares.</t>
  </si>
  <si>
    <t>ESTIMATIVA DE DEMANDA</t>
  </si>
  <si>
    <t>FORMAÇÃO DE PREÇOS – Serviço eventuais de manutenção dos sítios</t>
  </si>
  <si>
    <t>Valor (R$) homem/hora unitário (Sinapi)</t>
  </si>
  <si>
    <t>Valor Mensal</t>
  </si>
  <si>
    <t>Valor Anual</t>
  </si>
  <si>
    <t>Valor 24 meses</t>
  </si>
  <si>
    <t>Valor homem-hora Carpintaria</t>
  </si>
  <si>
    <t>Valor homem-hora Servente</t>
  </si>
  <si>
    <t>Valor homem-hora Pedreiro</t>
  </si>
  <si>
    <t>Valor homem-hora Pintura</t>
  </si>
  <si>
    <t>Despesas Administrativas/Operacionais</t>
  </si>
  <si>
    <t>Lucro sobre o Custo Variável</t>
  </si>
  <si>
    <t>Tributos:</t>
  </si>
  <si>
    <t xml:space="preserve">       Tributos Federais (PIS e COFINS)</t>
  </si>
  <si>
    <t xml:space="preserve">        Tributos Estaduais (especificar)</t>
  </si>
  <si>
    <t xml:space="preserve">        Tributos Municipais (ISS)</t>
  </si>
  <si>
    <t xml:space="preserve">        Outros Tributos (especificar)</t>
  </si>
  <si>
    <t>TAREFAS EVENTUAIS</t>
  </si>
  <si>
    <t>Tarefas carpintaria</t>
  </si>
  <si>
    <t>Serviço eventual</t>
  </si>
  <si>
    <t>Tarefas servente</t>
  </si>
  <si>
    <t>Tarefas pedreiro</t>
  </si>
  <si>
    <t>Tarefas pintor</t>
  </si>
  <si>
    <t>Valor Unitário estimado</t>
  </si>
  <si>
    <t>Valor Unitário estimado (homem/hora)</t>
  </si>
  <si>
    <t>Qtd. Mensal estimada (h)</t>
  </si>
  <si>
    <t>Lucro sobre o Custo Fixo</t>
  </si>
  <si>
    <t>FORMAÇÃO DE PREÇOS – Serviço eventuais de inspeção de estruturas de armazenagem</t>
  </si>
  <si>
    <t>Inspeção técnica extraordinária</t>
  </si>
  <si>
    <t>Inspeção técnica anual</t>
  </si>
  <si>
    <t>Valor (R$) Inspeção</t>
  </si>
  <si>
    <t>Qtd. Anual estimada</t>
  </si>
  <si>
    <t>Valor único (R$)</t>
  </si>
  <si>
    <t>SERVIÇOS EVENTUAIS DE IMPLANTAÇÃO DA OPERAÇÃO</t>
  </si>
  <si>
    <t>TOTAL NO CONTRATO</t>
  </si>
  <si>
    <t>Estimativa anual</t>
  </si>
  <si>
    <t>Estimativa 24 meses</t>
  </si>
  <si>
    <t>MANUTENÇÃO/ZELADORIA DOS SÍTIOS</t>
  </si>
  <si>
    <t>homem/hora</t>
  </si>
  <si>
    <t>Quantidade total horas / Mês</t>
  </si>
  <si>
    <t>Valor Mensal R$)</t>
  </si>
  <si>
    <t xml:space="preserve">       1.4.1 - Tributos Federais (PIS e COFINS)</t>
  </si>
  <si>
    <t xml:space="preserve">        1.4.2 - Tributos Estaduais (especificar)</t>
  </si>
  <si>
    <t xml:space="preserve">        1.4.3 - Tributos Municipais (ISS)</t>
  </si>
  <si>
    <t xml:space="preserve">        1.4.4 - Outros Tributos (especificar)</t>
  </si>
  <si>
    <t>TOTAL POR MÊS</t>
  </si>
  <si>
    <t>TOTAL POR ANO</t>
  </si>
  <si>
    <t>Solução Armazenagem/estocagem (WMS ou similar)</t>
  </si>
  <si>
    <t xml:space="preserve">Solução planejamento de transporte/roteirização </t>
  </si>
  <si>
    <t>Solução Rastreamento/Gestão Frota (incluindo acessórios)</t>
  </si>
  <si>
    <r>
      <rPr>
        <b/>
        <sz val="11"/>
        <rFont val="Calibri"/>
        <family val="2"/>
        <scheme val="minor"/>
      </rPr>
      <t>TOTAL:</t>
    </r>
    <r>
      <rPr>
        <sz val="11"/>
        <rFont val="Calibri"/>
        <family val="2"/>
        <scheme val="minor"/>
      </rPr>
      <t xml:space="preserve"> Disponibilização e operação de Sistemas Logísticos Integrados.</t>
    </r>
  </si>
  <si>
    <t>TOTAL 24 MESES</t>
  </si>
  <si>
    <t>INSPEÇÃO DE ESTRUTURAS DE ARMAZENAGEM</t>
  </si>
  <si>
    <t>Pacote de Inspeção</t>
  </si>
  <si>
    <t>Implantação da Operação</t>
  </si>
  <si>
    <t>Implantação dos sistemas e treinamentos</t>
  </si>
  <si>
    <t>Tarefa</t>
  </si>
  <si>
    <t>Disponibilização e operação de Sistemas Logísticos Integrados para possibilitar a operação.</t>
  </si>
  <si>
    <t>q</t>
  </si>
  <si>
    <t>r</t>
  </si>
  <si>
    <t>Despesa Extraordinárias (passagens aéreas/rodoviárias, locação veículo backup, manutenções em campo, pedágios, estacionamentos, etc)</t>
  </si>
  <si>
    <t>Alicate de corte diagonal  cabo isolado 6" com cabo isolado para 1000V</t>
  </si>
  <si>
    <t>Alicate de Pressão de 10 Pol, em aço, Abertura regulável,Fácil mecanismo para travamento e destravamento</t>
  </si>
  <si>
    <t>Alicate Meia Cana Isolado 6” com cabo isolado para 1000V</t>
  </si>
  <si>
    <t>Alicate para eletricista e desencapador de fios Vise- Grip, fios entre 10 e 24 AWG e terminais 7 a 8 mm de ,ajuste para fios menores de 20 AWG,com controle do tamanho do corte a ser realizado.</t>
  </si>
  <si>
    <t>Alicate Universal cabo isolado 8" com cabo isolado para 1000V</t>
  </si>
  <si>
    <t>Para serras de 300mm, com ajuste de tensão.</t>
  </si>
  <si>
    <t xml:space="preserve">Auto Transformador 200VA Bivolt 110/220 e 220/110 - Converte a tensão de 110V (127V) para 220V ou de 220 V para 110V (127 V). </t>
  </si>
  <si>
    <t>Caixa para Ferramentas  Sanfonada 5 Gavetas -Chapa de Aço e pintura</t>
  </si>
  <si>
    <t>Cavadeira Articulada com cabo de madeira de no mínimo 1,20</t>
  </si>
  <si>
    <t>Cavadeira Reta Com socador e  Cabo Metal, fabricada em aço carbono forjado e temperado;
-  Cabo com no minimo 1,20 m</t>
  </si>
  <si>
    <t xml:space="preserve"> Celular c/ internet</t>
  </si>
  <si>
    <t xml:space="preserve">Tipo L com perfil sextavado Fabricada em aço cromo vanádio </t>
  </si>
  <si>
    <t>Chave Phillips de 1/8 X 4 "</t>
  </si>
  <si>
    <t>Medidas Fenda: 1/8" x 4"</t>
  </si>
  <si>
    <t>Medidas Fenda: 1/4" x 10"</t>
  </si>
  <si>
    <t xml:space="preserve">Diâmetro da corda: 8,0 mm, Comprimento total da corda: 50,0 m, Material da corda: Polipropileno - PP Tipo de filamento da corda: Multifilamento  Tipo de encordamento: Trançado </t>
  </si>
  <si>
    <t xml:space="preserve">Enxada de aço com cabo de madeira </t>
  </si>
  <si>
    <t>Escada Extensiva 19 Degraus tipo D e Fibra Vazada 3,60 x 6,00 Metros</t>
  </si>
  <si>
    <t>Extensão de energia -  3 Pinos 2P+T 20A Cabo Pp Com 30M</t>
  </si>
  <si>
    <t xml:space="preserve">Facão para Mato - lâmina em aço carbono de 14 polegadas - Cabo de polipropileno e bainha </t>
  </si>
  <si>
    <t>ferro de solda 100w 127v - Certificação INMETRO</t>
  </si>
  <si>
    <t>Furadeira de Impacto Profissional  com Punho lateral,Limitador de profundidade e chave de mandril e potência minima de 760W</t>
  </si>
  <si>
    <t>Capacidade 18 Litros Composição Polietileno de alto impacto Isolamento Térmico Espuma de Poliuretano e Alças</t>
  </si>
  <si>
    <t>Ganchode Aço Com Olhal para elevação de carga</t>
  </si>
  <si>
    <t>Guarda-sol P/ Topografia Articulado Em Alumínio cobertura em PVC e Poliéster,haste em alumínio e articulável</t>
  </si>
  <si>
    <t>Jogo Chave Allen  1,5 A 10 Mm 9 Peças Profissional</t>
  </si>
  <si>
    <t>Kit Chave Catraca Reversível Jogo de Soquetes</t>
  </si>
  <si>
    <t>Jogo de Chaves Combinadas com medidas de 6 a 22 mm, feitas em aço cromo-vanádio.</t>
  </si>
  <si>
    <t>Medidas Fenda: 1/8" x 3.1/8"; 1/4" x 4"; 1/4" x 6"
- Fenda para eletricista sem isolação: 3/16" x 4"
- Phillips: 3/16" x 3.1/8" (nº1); 1/4" x 5"(nº2)</t>
  </si>
  <si>
    <t>Lanterna portátivel com lâmpada de LED</t>
  </si>
  <si>
    <t>Mareta de 2kg com cabeça aço/ferro fundido . Cabo de madeira30 cm</t>
  </si>
  <si>
    <t xml:space="preserve">Martelo de Unha O Martelo de Unha 27 mm </t>
  </si>
  <si>
    <t>Moitão Roldana Para Elevação de Carga com 1 Rodana – capacidade carga de no mínimo 250 kg.</t>
  </si>
  <si>
    <t>Pertmitir as medições de ,TENSÃO DC, Tensão AC de no mínimo 600v, Correntes AC e DC, ressitencia, teste de continuidade com emissão de sinal sonóro, teste de diodos e transistores.</t>
  </si>
  <si>
    <t>Nível De Alumínio 12 Pol Magnético</t>
  </si>
  <si>
    <t>Notebook</t>
  </si>
  <si>
    <t>Organizador com no minimo 16 Compartimentos</t>
  </si>
  <si>
    <t xml:space="preserve">
Pá De Bico Com Cabo De Madeira</t>
  </si>
  <si>
    <t>Pistola/Aplicador Silicone  para tubos de  até 310 g/ 315 ml</t>
  </si>
  <si>
    <t>Rádio Comunicador para curta distância</t>
  </si>
  <si>
    <t>Equipamento versátil 4 em 1. Completa, a Roçadeira GRM-430 da Terra Equipamentos tem motor a gasolina 2T de 43 cilindradas e 4 funções embarcadas: roçadeira, podadeira (para aparar grama), motosserra (para podar galhos) e aparadora (de cerca viva).</t>
  </si>
  <si>
    <t xml:space="preserve">Sugador de solda com corpo em aluminio e bico substituivel </t>
  </si>
  <si>
    <t>Teste de bateria, com chave de acionar a descarga e chave seletora de amperagem</t>
  </si>
  <si>
    <t>Torquês Armador De 10” Forjado em aço carbono</t>
  </si>
  <si>
    <t>rolo de 50m</t>
  </si>
  <si>
    <t>jogo</t>
  </si>
  <si>
    <t>unidade</t>
  </si>
  <si>
    <t>Bota Profissional PVC Preta Curto Com Forro Sem Biqueira</t>
  </si>
  <si>
    <t>Botina Bota de Segurança p/ Trabalho,  Bota de segurança confeccionada em couro,biqueira de polipropileno, fechamento em elástico nas laterais,palmilha de montagem em EVA com sol em PU  com sistema de absorção de impacto, injetado diretamente no cabedal.</t>
  </si>
  <si>
    <t>Capa de Chuva Confeccionada em PVC com forro de poliéster com mangas longas, capuz, fechamento frontal</t>
  </si>
  <si>
    <t>capacete de segurança com jugular ajustavel</t>
  </si>
  <si>
    <t>Cinturão Paraquedista 3 Pontos com Talabarte Simples Com Absorvedor de Energia de acordo com a  8015NBR 15836/2010</t>
  </si>
  <si>
    <t>Colete Refletivo Amarelo Com 1 Bolso</t>
  </si>
  <si>
    <t>Cone de Sinalização 75cm Laranja-Branco -Tamanho: 75cm com faixa injetada refletiva</t>
  </si>
  <si>
    <t>Faixa de Sinalização Preta e Amarela 200m</t>
  </si>
  <si>
    <t>Kit de Segurança para Operador de Roçadeiras</t>
  </si>
  <si>
    <t>Luva de Algodão Tricotada Pigmentada</t>
  </si>
  <si>
    <t>Luva de Vaqueta com dorso em eleástico embutido</t>
  </si>
  <si>
    <t>Óculos de segurnaç empolicarbonato óptico, possui armação de nylon e hastes com comprimento regulável.Proteção: UVA E UVB, Filtro: 99,9%, Visor: incolor.</t>
  </si>
  <si>
    <t>Protetor Facial Incolor para proteção dos olhos e face do usuário contra impactos de partículas</t>
  </si>
  <si>
    <t>Protetor Solar Profissional FPS 60 - 120ml</t>
  </si>
  <si>
    <t>Repelente de Insetos Repelex Spray com 100ml</t>
  </si>
  <si>
    <t>par</t>
  </si>
  <si>
    <t>Rolo</t>
  </si>
  <si>
    <t>Alicate de corte diagonal</t>
  </si>
  <si>
    <t>Alicate Meia Cana</t>
  </si>
  <si>
    <t>Alicate para Eletricista e Desencapador de Fios</t>
  </si>
  <si>
    <t>Alicate Universal</t>
  </si>
  <si>
    <t>Auto Transformador 2000VA Bivolt 110/220 e 220/110V</t>
  </si>
  <si>
    <t>Cavadeira Reta Com socador e  Cabo Metal</t>
  </si>
  <si>
    <t>Celular</t>
  </si>
  <si>
    <t>Chave "L" longa 10mm</t>
  </si>
  <si>
    <t xml:space="preserve">Chave Phillips </t>
  </si>
  <si>
    <t>chaves de Fenda</t>
  </si>
  <si>
    <t xml:space="preserve">chaves de Fenda </t>
  </si>
  <si>
    <t>Corda multifilamento trançada 8 mm</t>
  </si>
  <si>
    <t>Enxada Estreita</t>
  </si>
  <si>
    <t>Escada Extensiva</t>
  </si>
  <si>
    <t>Facão para Mato</t>
  </si>
  <si>
    <t>Ferro de Solda 100W</t>
  </si>
  <si>
    <t xml:space="preserve">Furadeira de Impacto Profissional </t>
  </si>
  <si>
    <t>Galão Térmico</t>
  </si>
  <si>
    <t>Gancho de Aço Com Olhal</t>
  </si>
  <si>
    <t>Guarda-sol Articulado Em Alumínio</t>
  </si>
  <si>
    <t>Jogo Chave Allen Abaulada 1,5 A 10 Mm 9</t>
  </si>
  <si>
    <t>Jogo de Chave Catraca Reversível Jogo de Soquetes</t>
  </si>
  <si>
    <t>Jogo de chaves Combinadas</t>
  </si>
  <si>
    <t>Jogo de chaves de Fenda e Philips</t>
  </si>
  <si>
    <t>Mesa Portátil Dobrável Domo com 2 baquetas(REF: NAUTIKA-291080)</t>
  </si>
  <si>
    <t xml:space="preserve">Moitão Roldana Para Elevação de Carga </t>
  </si>
  <si>
    <t>Multímetro Digital</t>
  </si>
  <si>
    <t>Nível De Alumínio 12</t>
  </si>
  <si>
    <t>Organizador Plástico para materias</t>
  </si>
  <si>
    <t>Pistola/Aplicador Silicone  para tubos</t>
  </si>
  <si>
    <t xml:space="preserve">Sugador de solda </t>
  </si>
  <si>
    <t>Teste de Bateria e Sistema de Carga 16V 150A/h</t>
  </si>
  <si>
    <t xml:space="preserve">Torquês Armador De 10” </t>
  </si>
  <si>
    <t>Notebook robusto para trabalho em campo</t>
  </si>
  <si>
    <t>Bota para chuva</t>
  </si>
  <si>
    <t>Botina Bota de Segurança p/ Trabalho - (EPI)</t>
  </si>
  <si>
    <t>Capa de chuva  - (EPI)</t>
  </si>
  <si>
    <t>Capacete de segurança com jugular - (EPI)</t>
  </si>
  <si>
    <t>Cinturão de Segurança - (EPI)</t>
  </si>
  <si>
    <t>Colete Refletivo  - (EPI)</t>
  </si>
  <si>
    <t>Cone de Sinalização - (EPC)</t>
  </si>
  <si>
    <t>Faixa de Sinalização- (EPC)</t>
  </si>
  <si>
    <t>Luvas para trabalho leves - (EPI)</t>
  </si>
  <si>
    <t>Luvas para trabalho pesado  - (EPI)</t>
  </si>
  <si>
    <t>Protetor Facial Incolor  - (EPI)</t>
  </si>
  <si>
    <t>Protetor Solar Profissional  - (EPI)</t>
  </si>
  <si>
    <t>Repelente de Insetos  - (EPI)</t>
  </si>
  <si>
    <t>Alicate Bico Meia Cana Reto com Cabo Isolado 6 Pol</t>
  </si>
  <si>
    <t>Alicate Bico Meia Cana Reto com Cabo Isolado 6 Pol. (REF: VONDER-3662061505)</t>
  </si>
  <si>
    <t>Alicate de Corte Rente</t>
  </si>
  <si>
    <t>Alicate Mini de Corte Frontal de 4,5 Pol</t>
  </si>
  <si>
    <t>Alicate Mini de Corte Frontal de 4,5 Pol. - (REF: BLACK JACK-B034)</t>
  </si>
  <si>
    <t>Assistente de Soldagem SA-10</t>
  </si>
  <si>
    <t>Escova Antiestática Condutiva 170mm</t>
  </si>
  <si>
    <t>Estação Solda</t>
  </si>
  <si>
    <t>Estação Solda e Retrabalho 2 em 1 Yaxun 702B+ 5 Bocais 220v</t>
  </si>
  <si>
    <t>Fita Térmica de Poliamida tipo Kapton</t>
  </si>
  <si>
    <t>Fluxo Amtech NC-559-ASM 100gr para Solda BGA</t>
  </si>
  <si>
    <t>Fonte de Alimentação Variável</t>
  </si>
  <si>
    <t>Fonte Alimentação Variável (REF: Yaxun PS-305D 30v 5A)</t>
  </si>
  <si>
    <t xml:space="preserve">Furadeira de Bancada de 1/2 Pol. 1/2CV com Morsa (220V) </t>
  </si>
  <si>
    <t xml:space="preserve">Jogo de 6 Chaves de Precisão </t>
  </si>
  <si>
    <t>Jogo de 6 Chaves de Precisão - (REF: STANLEY-66-052)</t>
  </si>
  <si>
    <t>Jogo de Chaves Allen em Milímetros e Polegadas com 30 Peças</t>
  </si>
  <si>
    <t>Jogo de Chaves Allen em Milímetros e Polegadas com 30 Peças – (REF: LEETOOLS-685535)</t>
  </si>
  <si>
    <t xml:space="preserve">Jogo de Chaves Canhão tipo Industrial com 10 Peças de 4 a 13mm </t>
  </si>
  <si>
    <t>Jogo de Chaves Canhão tipo Industrial com 10 Peças de 4 a 13mm (REF: BELZER-252010BN)</t>
  </si>
  <si>
    <t>Jogo De Chaves Combinadas Com Catraca 8-24mm (REF: Belzer 9416bj)</t>
  </si>
  <si>
    <t>Jogo de Chaves Combinadas em Milímetros com 17 Peças - (REF: STANLEY-STMT74754)</t>
  </si>
  <si>
    <t>Jogo de Chaves Curtas tipo Tork com 9 Peças</t>
  </si>
  <si>
    <t>Jogo de Chaves Curtas tipo Tork com 9 Peças - (REF: BELZER-230409SBR)</t>
  </si>
  <si>
    <t>Jogo de Mini Chaves de Precisão (REF: Yaxun YX6028B)</t>
  </si>
  <si>
    <t xml:space="preserve">Jogo de Serra Copo Bimetálica </t>
  </si>
  <si>
    <t>Jogo de Serra Copo Bimetálica 19 a 57mm com 9 Peças</t>
  </si>
  <si>
    <t>Jogo de Soquetes Sextavados com Encaixe de 1/4 Pol. com 46 Peças</t>
  </si>
  <si>
    <t>Jogo de Soquetes Sextavados com Encaixe de 1/4 Pol. com 46 Peças - (REF: GEDORE RED-R49003046)</t>
  </si>
  <si>
    <t>Kit 7 Pinças Anti-estática Vetus Esd</t>
  </si>
  <si>
    <t>Kit Motocompressor 8,5 Pés + Kit de Pintura e limpeza</t>
  </si>
  <si>
    <t>Lupa com Garras e Suporte para Ferro de Solda</t>
  </si>
  <si>
    <t>Malha Dessoldadora 1,5mm X 1,5m</t>
  </si>
  <si>
    <t>Manta Antiestática Magnética Reparo Celular Suporta 500ºC</t>
  </si>
  <si>
    <t>Microrretífica com Eixo Flexível (220V)</t>
  </si>
  <si>
    <t>Microscópio USB com Suporte Metálico e IIuminação LED 1000X</t>
  </si>
  <si>
    <t>Morsa Torno de Bancada 6 Polegadas</t>
  </si>
  <si>
    <t>Morsa Torno de Bancada 6 Polegadas com Base Giratória-Sparta</t>
  </si>
  <si>
    <t>Pasta para Solda com Estanho em Fio - 110 Gramas</t>
  </si>
  <si>
    <t>Pinça à Vacuo Manual com 3 Ventosas</t>
  </si>
  <si>
    <t>Pincel ESD para Aplicação de Fluxo 7mm x 175mm (cabo madeira)</t>
  </si>
  <si>
    <t>Serra Meia Esquadria de Precisão Manual 550mm</t>
  </si>
  <si>
    <t>SN-390 Suporte p/ Solda</t>
  </si>
  <si>
    <t>SN-390 Suporte p/ Solda Reparo em PCB PCI Largura Máx 200mm</t>
  </si>
  <si>
    <t>Soprador Térmico 2000W 350 a 550ºC com 4 Bicos - HAMMER-GYSP2000</t>
  </si>
  <si>
    <t>Parafusaderia Profissional</t>
  </si>
  <si>
    <t>Parafusadeira/ Furadeira de Impacto 1/2 Pol. 20VJogo de Brocas e Bits com 110 Peças FortgPro FG8908 - STANLEY-K2378 REF:Stanley SCH20C1K-BR</t>
  </si>
  <si>
    <t>Ferramentas e equipamentos</t>
  </si>
  <si>
    <t>Quant.</t>
  </si>
  <si>
    <t>Materiais de consumo e equipamentos</t>
  </si>
  <si>
    <t>Material</t>
  </si>
  <si>
    <t>Materiais de Consumo e EPIs funcionários de campo (depreciação 12 meses)</t>
  </si>
  <si>
    <t>FERRAMENTAS PARA OS TÉCNICOS DE CAMPO (Depreciação 60 meses)</t>
  </si>
  <si>
    <t>FERRAMENTAS PARA OS TÉCNICOS INTERNOS - LABORATÓRIO (Depreciação 60 meses)</t>
  </si>
  <si>
    <t xml:space="preserve">Material </t>
  </si>
  <si>
    <t>Capacete</t>
  </si>
  <si>
    <t xml:space="preserve">Luva </t>
  </si>
  <si>
    <t xml:space="preserve">Óculos </t>
  </si>
  <si>
    <t>Conjunto</t>
  </si>
  <si>
    <t>caixas de papelão, lacres numerados, fitas, etiquetas, bolsas de ar, plástico bolhas, entre outros</t>
  </si>
  <si>
    <t>Abraçadeira de Nylon branca</t>
  </si>
  <si>
    <t>Abraçadeira de Nylon 200x2,5mm Branca - Pct 100 Unidades</t>
  </si>
  <si>
    <t>Abraçadeira de Nylon Preta</t>
  </si>
  <si>
    <t>Abraçadeira de Nylon Preta 4,7x300mm Hellermann pacote com 100 unidades</t>
  </si>
  <si>
    <t xml:space="preserve">Alcool isopropilico </t>
  </si>
  <si>
    <t>Alcool Isopropilico 99,8% - Frasco 1 Litro</t>
  </si>
  <si>
    <t xml:space="preserve">Broca de aço rápido </t>
  </si>
  <si>
    <t xml:space="preserve">
Broca de ação rápido  de 1/8" </t>
  </si>
  <si>
    <t xml:space="preserve">
Broca de ação rápido  de 5/32"</t>
  </si>
  <si>
    <t xml:space="preserve">
Broca de ação rápido  de  3/16"</t>
  </si>
  <si>
    <t xml:space="preserve">
Broca de ação rápido  de  1/4"</t>
  </si>
  <si>
    <t xml:space="preserve">
Broca de ação rápido  de  5/16"</t>
  </si>
  <si>
    <t>broca de videa para concreto</t>
  </si>
  <si>
    <t>broca de videa para concreto 6mm</t>
  </si>
  <si>
    <t>broca de videa para concreto 8mm</t>
  </si>
  <si>
    <t>broca de videa para concreto 10mm</t>
  </si>
  <si>
    <t>broca de videa para concreto 11mm</t>
  </si>
  <si>
    <t>Bucha plastica de Fixação Convencional 10MM</t>
  </si>
  <si>
    <t>Bucha plastica de Fixação Convencional 10MM - pacote com 500 unidades</t>
  </si>
  <si>
    <t>Bucha plastica de Fixação Convencional 6MM</t>
  </si>
  <si>
    <t>Bucha plastica de Fixação Convencional 6MM - pacote com 1.000 unidades</t>
  </si>
  <si>
    <t>Bucha plastica de Fixação Convencional 8MM</t>
  </si>
  <si>
    <t>Bucha plastica de Fixação Convencional 8MM - pacote com 1.000 unidades</t>
  </si>
  <si>
    <t xml:space="preserve">Chumbador com Parafuso e Prolongador Âncora </t>
  </si>
  <si>
    <t>Chumbador com Parafuso e Prolongador Âncora 3/8 x 3.1/2 Pol - Ancora</t>
  </si>
  <si>
    <t>Desengripante Spray</t>
  </si>
  <si>
    <t>Desengripante White Lub Super 300ml Anti-ferrugem</t>
  </si>
  <si>
    <t>Espatula de aço</t>
  </si>
  <si>
    <t> aço inox 4” 10cm cabo madeira</t>
  </si>
  <si>
    <t>Estilhete com Lâmina</t>
  </si>
  <si>
    <t>Estilete Profissional Largo com Trava 18mm</t>
  </si>
  <si>
    <t>Estopa de limpeza</t>
  </si>
  <si>
    <t>Estopa para limpeza 500g</t>
  </si>
  <si>
    <t>Fio de solda</t>
  </si>
  <si>
    <t>Rolo de Solda Estanho 250g 1mm</t>
  </si>
  <si>
    <t xml:space="preserve">Fita de Autofusão </t>
  </si>
  <si>
    <t xml:space="preserve">Fita de Autofusão Preta Ate 69 Kv 19 Mm 10 M </t>
  </si>
  <si>
    <t>Fita isolante</t>
  </si>
  <si>
    <t>Fita Isolante Antichama Preta 19 Mm 20 M</t>
  </si>
  <si>
    <t>Gasolina</t>
  </si>
  <si>
    <t>Gasolina para roçadeira</t>
  </si>
  <si>
    <t>Lâmina para Serra Manual</t>
  </si>
  <si>
    <t>Lâmina para Serra Manual Bimetal Starrett 12"x1/2"x24D</t>
  </si>
  <si>
    <t>Óleo  2T para roçadeira</t>
  </si>
  <si>
    <t xml:space="preserve">Pasta para Solda </t>
  </si>
  <si>
    <t>Pincel</t>
  </si>
  <si>
    <t>Trincha média para pintura e limpeza</t>
  </si>
  <si>
    <t>pacote</t>
  </si>
  <si>
    <t>litro</t>
  </si>
  <si>
    <t>Pacote</t>
  </si>
  <si>
    <t>Terminal pino tubular simples (ilhós) isolado</t>
  </si>
  <si>
    <t>Cobre estanhado (SNCU), Policloreto de vinila (PVC); Tensão Máx. de Trabalho – 750 v; Flamabilidade - UL94 V0; Bitolas (mm²): 0,50/0,75/1,0/1,5</t>
  </si>
  <si>
    <t xml:space="preserve">Terminal olhal isolado standard </t>
  </si>
  <si>
    <t xml:space="preserve">Furo Ø – M3; Bitola (mm²) - 0.25 - 1.50 –  Cor Vermelha; Cobre estanhado (SNCU), Policloreto de vinila (PVC); Tensão Máx. de Trabalho – 750 v; Flamabilidade - UL94 V0
</t>
  </si>
  <si>
    <t>Conector Alojamento Fêmea</t>
  </si>
  <si>
    <t>Número de Vias – 2; Ângulo do Conector -180°; Passo  4,20mm; Tensão Máxima – 600V; Corrente Máxima - 5A; Cor - Branca; Mini fit/mini fit 2 vias</t>
  </si>
  <si>
    <t>Terminal para Alojamento Mini Fit 4,20mm</t>
  </si>
  <si>
    <t>Número de Vias – 1; Ângulo do Conector -180°; Passo - 4,20mm; Tensão Máxima – 600 V; Corrente Máxima - 5A; Macho/fêmea</t>
  </si>
  <si>
    <t>Conectores</t>
  </si>
  <si>
    <t xml:space="preserve"> Par de Conectores padrão da Série EN3 NEMA 250/3P; ou, Par de Conectores padrão da Série EN3 NEMA 250/6P; ou,  Par de Conectores padrão da Série EN3 NEMA 250/6P</t>
  </si>
  <si>
    <t>Gasto mensal por técnico de campo (rateio 12 funcionários)</t>
  </si>
  <si>
    <t>Gasto mensal por funcionário de campo (rateio 24 funcionários)</t>
  </si>
  <si>
    <t>Gasto mensal calculado por funcionário de armazém - Aux. Operações (rateio 02 funcionários)</t>
  </si>
  <si>
    <t>Gasto mensal para a equipe interna de manutenção (alocado no Técnico Interno)</t>
  </si>
  <si>
    <t>PLANILHA DE APOIO</t>
  </si>
  <si>
    <t>MATERIAIS E FERRAMENTAS PARA O SERVIÇO/OPERAÇÃO</t>
  </si>
  <si>
    <t>3132-15 :: Técnicos em eletrônica</t>
  </si>
  <si>
    <t>Técnico Manutenção de Campo</t>
  </si>
  <si>
    <t>Materiais - EPIs e materiais de consumo</t>
  </si>
  <si>
    <t>Técnico De Manutenção Interno</t>
  </si>
  <si>
    <t xml:space="preserve">Materiais </t>
  </si>
  <si>
    <t>Equipamentos - Ferramentas e EPIs</t>
  </si>
  <si>
    <t>Obs: No contrato de trabalho deve constar expressamente que o auxiliar de operações acumulará a função de condutor de veículo na manutenção de campo e receberá uma gratificação de 40% para isto.</t>
  </si>
  <si>
    <t>EPIs funcionários do armazém / Materiais de embalagem e acondicionamento (Depreciação 12 meses)</t>
  </si>
  <si>
    <t>VALOR ANUAL DO AUX. OP. ALMOX.</t>
  </si>
  <si>
    <t>4102-40/ 4102-05/ 3131-15</t>
  </si>
  <si>
    <t>VALOR ANUAL DO SUPERVISOR</t>
  </si>
  <si>
    <t>Materiais de consumo e EPI</t>
  </si>
  <si>
    <t>Coletor de dados</t>
  </si>
  <si>
    <t>Impressora etiquetas</t>
  </si>
  <si>
    <t>compatível com a solução de WMS a ser implantada.</t>
  </si>
  <si>
    <t>Equipamentos funcionários do armazém (Depreciação 60 meses)</t>
  </si>
  <si>
    <t>com leitor de código de barras/laser, compatível com a solução de WMS a ser implantada.</t>
  </si>
  <si>
    <t>Valor Total 24 Meses</t>
  </si>
  <si>
    <t>%</t>
  </si>
  <si>
    <t>Valor Mensal Estimado</t>
  </si>
  <si>
    <t>Valor Total Anual Estimado</t>
  </si>
  <si>
    <t>VALOR TOTAL DO SERVIÇO 24 MESES (R$)</t>
  </si>
  <si>
    <t>Implantação dos sistemas informatizados e dispositivos de rastreamento, incluindo consultoria/back-office de pelo menos 16 horas.</t>
  </si>
  <si>
    <t>Treinamentos dos sistemas informatizados e da NR 35.</t>
  </si>
  <si>
    <t>Solução Apontamento de Campo e dashboard</t>
  </si>
  <si>
    <t>Anexo A - Planilha de Custos e Formação de Preços</t>
  </si>
  <si>
    <t>"Capa"</t>
  </si>
  <si>
    <t>"Téc. Manutenção"</t>
  </si>
  <si>
    <t>"Téc. Interno"</t>
  </si>
  <si>
    <t>"Aux. Operações Campo"</t>
  </si>
  <si>
    <t>"Aux. Operações Almox."</t>
  </si>
  <si>
    <t>"Aux. Operações Almox. Emp."</t>
  </si>
  <si>
    <t>"Empilhadeira"</t>
  </si>
  <si>
    <t>"Sistemas Log."</t>
  </si>
  <si>
    <t>"Zeladoria Sítios"</t>
  </si>
  <si>
    <t>"Inspeção Estruturas"</t>
  </si>
  <si>
    <t>"Implantação da Op."</t>
  </si>
  <si>
    <t>"Quadro Resumo"</t>
  </si>
  <si>
    <t>"Planilha de Apoio"</t>
  </si>
  <si>
    <t>Esta Planilha de Custos e Formação de Preços é composta por 15 abas (inclusive esta), na seguinte sequência:</t>
  </si>
  <si>
    <t>Os licitantes/proponentes devem acessar cada aba e fazer as alterações que correspondam à sua proposta/oferta. Para facilitar o preenchimento, as células dos itens de custos que podem ser alterados (que correspondem a oferta da empresa), estão marcados com a cor "amarela", conforme exemplo da célula ao lado.</t>
  </si>
  <si>
    <t>Instruções de preenchimento:</t>
  </si>
  <si>
    <t>Outros (especificar) - Gratificação 30% para operar empilhadeira elétrica</t>
  </si>
  <si>
    <t>Obs: No contrato de trabalho deve constar expressamente que o auxiliar acumulará a função de operador de empilhadeira eventualmente e receberá uma gratificação de 30% para isto.</t>
  </si>
  <si>
    <t>a, b, c, d, e, f, g, h, i, j</t>
  </si>
  <si>
    <t>k, l, m, n, o, p, q, r, s, t</t>
  </si>
  <si>
    <r>
      <t xml:space="preserve">Prestação de Serviço Logístico integrado (Operador Logístico) para a operação da rede observacional nacional do Cemaden </t>
    </r>
    <r>
      <rPr>
        <b/>
        <sz val="10"/>
        <color rgb="FF000000"/>
        <rFont val="Arial"/>
        <family val="2"/>
      </rPr>
      <t>(parcela regular - mensal).</t>
    </r>
  </si>
  <si>
    <r>
      <rPr>
        <b/>
        <sz val="11"/>
        <color theme="1"/>
        <rFont val="Calibri"/>
        <family val="2"/>
        <scheme val="minor"/>
      </rPr>
      <t xml:space="preserve">ITEM 1 - </t>
    </r>
    <r>
      <rPr>
        <sz val="11"/>
        <color theme="1"/>
        <rFont val="Calibri"/>
        <family val="2"/>
        <scheme val="minor"/>
      </rPr>
      <t>Prestação de Serviço Logístico integrado (Operador Logístico) para a operação da rede observacional nacional do Cemaden (parcela regular - mensal).</t>
    </r>
  </si>
  <si>
    <r>
      <rPr>
        <b/>
        <sz val="11"/>
        <color theme="1"/>
        <rFont val="Calibri"/>
        <family val="2"/>
        <scheme val="minor"/>
      </rPr>
      <t>ITEM 2 -</t>
    </r>
    <r>
      <rPr>
        <sz val="11"/>
        <color theme="1"/>
        <rFont val="Calibri"/>
        <family val="2"/>
        <scheme val="minor"/>
      </rPr>
      <t xml:space="preserve"> Prestação de Serviço Logístico integrado (Operador Logístico) para a operação da rede observacional nacional do Cemaden (parcela variável estimada - por demanda).</t>
    </r>
  </si>
  <si>
    <r>
      <t xml:space="preserve">Prestação de Serviço Logístico integrado (Operador Logístico) para a operação da rede observacional nacional do Cemaden </t>
    </r>
    <r>
      <rPr>
        <b/>
        <sz val="10"/>
        <color rgb="FF000000"/>
        <rFont val="Arial"/>
        <family val="2"/>
      </rPr>
      <t>(parcela variável estimada - por demanda).</t>
    </r>
  </si>
  <si>
    <t>Gratificação de Função de Encarregado-Geral - 40%</t>
  </si>
  <si>
    <t>"Encarregados"</t>
  </si>
  <si>
    <t>"Encarregado-geral"</t>
  </si>
  <si>
    <t>VALOR TOTAL MENSAL DO SERVIÇO (R$)</t>
  </si>
  <si>
    <t>GRUPO</t>
  </si>
  <si>
    <t>Encarregado Geral</t>
  </si>
  <si>
    <t>4101-05</t>
  </si>
  <si>
    <t>Encarregado/Supervisor de Operações/ Supervisor de Almoxarifado/ Supervisor Técnico de Manutenção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</si>
</sst>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00_);_(* \(#,##0.00\);_(* &quot;-&quot;??_);_(@_)"/>
    <numFmt numFmtId="165" formatCode="#,##0.00;[Red]#,##0.00"/>
    <numFmt numFmtId="166" formatCode="_(* #,##0.00_);_(* \(#,##0.00\);_(* \-??_);_(@_)"/>
    <numFmt numFmtId="167" formatCode="0.000%"/>
    <numFmt numFmtId="168" formatCode="[$R$-416]\ #,##0.00;[Red]\-[$R$-416]\ #,##0.00"/>
    <numFmt numFmtId="169" formatCode="0.0%"/>
  </numFmts>
  <fonts count="42"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12"/>
      <name val="Times New Roman"/>
      <family val="1"/>
    </font>
    <font>
      <sz val="18"/>
      <color theme="0"/>
      <name val="Times New Roman"/>
      <family val="1"/>
    </font>
    <font>
      <b/>
      <sz val="9"/>
      <color indexed="8"/>
      <name val="Arial"/>
      <family val="2"/>
    </font>
    <font>
      <sz val="9"/>
      <color indexed="8"/>
      <name val="Arial"/>
      <family val="2"/>
    </font>
    <font>
      <b/>
      <sz val="10"/>
      <color indexed="8"/>
      <name val="Arial"/>
      <family val="2"/>
    </font>
    <font>
      <b/>
      <sz val="12"/>
      <color indexed="8"/>
      <name val="Arial"/>
      <family val="2"/>
    </font>
    <font>
      <b/>
      <sz val="12"/>
      <color indexed="8"/>
      <name val="Times New Roman"/>
      <family val="1"/>
    </font>
    <font>
      <b/>
      <sz val="14"/>
      <color indexed="8"/>
      <name val="Times New Roman"/>
      <family val="1"/>
    </font>
    <font>
      <sz val="12"/>
      <color indexed="8"/>
      <name val="Times New Roman"/>
      <family val="1"/>
    </font>
    <font>
      <b/>
      <sz val="9"/>
      <color theme="1"/>
      <name val="Arial"/>
      <family val="2"/>
    </font>
    <font>
      <sz val="10"/>
      <color theme="1"/>
      <name val="Arial"/>
      <family val="2"/>
    </font>
    <font>
      <b/>
      <sz val="10"/>
      <color rgb="FF000000"/>
      <name val="Arial"/>
      <family val="2"/>
    </font>
    <font>
      <sz val="10"/>
      <color rgb="FF000000"/>
      <name val="Arial"/>
      <family val="2"/>
    </font>
    <font>
      <sz val="11"/>
      <color rgb="FF000000"/>
      <name val="Arial"/>
      <family val="2"/>
    </font>
    <font>
      <sz val="11"/>
      <name val="Arial"/>
      <family val="2"/>
    </font>
    <font>
      <sz val="11"/>
      <name val="Calibri"/>
      <family val="2"/>
      <scheme val="minor"/>
    </font>
    <font>
      <b/>
      <sz val="11"/>
      <name val="Calibri"/>
      <family val="2"/>
      <scheme val="minor"/>
    </font>
    <font>
      <b/>
      <sz val="16"/>
      <color rgb="FF000000"/>
      <name val="Calibri"/>
      <family val="2"/>
      <scheme val="minor"/>
    </font>
  </fonts>
  <fills count="52">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27"/>
        <bgColor indexed="9"/>
      </patternFill>
    </fill>
    <fill>
      <patternFill patternType="solid">
        <fgColor indexed="9"/>
        <bgColor indexed="26"/>
      </patternFill>
    </fill>
    <fill>
      <patternFill patternType="solid">
        <fgColor rgb="FFFFFF00"/>
        <bgColor indexed="64"/>
      </patternFill>
    </fill>
    <fill>
      <patternFill patternType="solid">
        <fgColor theme="9" tint="0.39997558519241921"/>
        <bgColor indexed="64"/>
      </patternFill>
    </fill>
    <fill>
      <patternFill patternType="solid">
        <fgColor rgb="FF00B0F0"/>
        <bgColor indexed="64"/>
      </patternFill>
    </fill>
    <fill>
      <patternFill patternType="solid">
        <fgColor theme="5" tint="0.79998168889431442"/>
        <bgColor indexed="64"/>
      </patternFill>
    </fill>
    <fill>
      <patternFill patternType="solid">
        <fgColor rgb="FF37F828"/>
        <bgColor indexed="64"/>
      </patternFill>
    </fill>
    <fill>
      <patternFill patternType="solid">
        <fgColor rgb="FF37F828"/>
        <bgColor indexed="49"/>
      </patternFill>
    </fill>
    <fill>
      <patternFill patternType="solid">
        <fgColor rgb="FF37F828"/>
        <bgColor indexed="26"/>
      </patternFill>
    </fill>
    <fill>
      <patternFill patternType="solid">
        <fgColor indexed="11"/>
        <bgColor indexed="49"/>
      </patternFill>
    </fill>
    <fill>
      <patternFill patternType="solid">
        <fgColor theme="9" tint="0.59999389629810485"/>
        <bgColor indexed="64"/>
      </patternFill>
    </fill>
    <fill>
      <patternFill patternType="solid">
        <fgColor theme="0" tint="-0.249977111117893"/>
        <bgColor indexed="64"/>
      </patternFill>
    </fill>
    <fill>
      <patternFill patternType="solid">
        <fgColor theme="7" tint="0.399975585192419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8"/>
      </left>
      <right/>
      <top/>
      <bottom/>
      <diagonal/>
    </border>
  </borders>
  <cellStyleXfs count="54">
    <xf numFmtId="0" fontId="0" fillId="0" borderId="0"/>
    <xf numFmtId="9" fontId="1" fillId="0" borderId="0" applyFont="0" applyFill="0" applyBorder="0" applyAlignment="0" applyProtection="0"/>
    <xf numFmtId="166"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6" fillId="0" borderId="0" applyNumberFormat="0" applyFill="0" applyBorder="0" applyAlignment="0" applyProtection="0"/>
    <xf numFmtId="0" fontId="7" fillId="0" borderId="21" applyNumberFormat="0" applyFill="0" applyAlignment="0" applyProtection="0"/>
    <xf numFmtId="0" fontId="8" fillId="0" borderId="22" applyNumberFormat="0" applyFill="0" applyAlignment="0" applyProtection="0"/>
    <xf numFmtId="0" fontId="9" fillId="0" borderId="23" applyNumberFormat="0" applyFill="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24" applyNumberFormat="0" applyAlignment="0" applyProtection="0"/>
    <xf numFmtId="0" fontId="14" fillId="8" borderId="25" applyNumberFormat="0" applyAlignment="0" applyProtection="0"/>
    <xf numFmtId="0" fontId="15" fillId="8" borderId="24" applyNumberFormat="0" applyAlignment="0" applyProtection="0"/>
    <xf numFmtId="0" fontId="16" fillId="0" borderId="26" applyNumberFormat="0" applyFill="0" applyAlignment="0" applyProtection="0"/>
    <xf numFmtId="0" fontId="17" fillId="9" borderId="27" applyNumberFormat="0" applyAlignment="0" applyProtection="0"/>
    <xf numFmtId="0" fontId="18" fillId="0" borderId="0" applyNumberFormat="0" applyFill="0" applyBorder="0" applyAlignment="0" applyProtection="0"/>
    <xf numFmtId="0" fontId="1" fillId="10" borderId="28" applyNumberFormat="0" applyFont="0" applyAlignment="0" applyProtection="0"/>
    <xf numFmtId="0" fontId="19" fillId="0" borderId="0" applyNumberFormat="0" applyFill="0" applyBorder="0" applyAlignment="0" applyProtection="0"/>
    <xf numFmtId="0" fontId="20" fillId="0" borderId="29" applyNumberFormat="0" applyFill="0" applyAlignment="0" applyProtection="0"/>
    <xf numFmtId="0" fontId="2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1" fillId="34" borderId="0" applyNumberFormat="0" applyBorder="0" applyAlignment="0" applyProtection="0"/>
    <xf numFmtId="43" fontId="1" fillId="0" borderId="0" applyFont="0" applyFill="0" applyBorder="0" applyAlignment="0" applyProtection="0"/>
    <xf numFmtId="0" fontId="2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164" fontId="1" fillId="0" borderId="0" applyFont="0" applyFill="0" applyBorder="0" applyAlignment="0" applyProtection="0"/>
  </cellStyleXfs>
  <cellXfs count="300">
    <xf numFmtId="0" fontId="0" fillId="0" borderId="0" xfId="0"/>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1" fontId="3" fillId="0" borderId="7" xfId="0" applyNumberFormat="1" applyFont="1" applyBorder="1" applyAlignment="1">
      <alignment horizontal="center" vertical="center"/>
    </xf>
    <xf numFmtId="0" fontId="3" fillId="0" borderId="0" xfId="0" applyFont="1" applyAlignment="1">
      <alignment vertical="center"/>
    </xf>
    <xf numFmtId="0" fontId="3" fillId="0" borderId="2" xfId="0" applyFont="1" applyBorder="1" applyAlignment="1">
      <alignment horizontal="center" vertical="center"/>
    </xf>
    <xf numFmtId="165" fontId="3" fillId="0" borderId="7" xfId="0" applyNumberFormat="1" applyFont="1" applyBorder="1" applyAlignment="1">
      <alignment horizontal="center" vertical="center"/>
    </xf>
    <xf numFmtId="165" fontId="2" fillId="0" borderId="3" xfId="0" applyNumberFormat="1" applyFont="1" applyBorder="1" applyAlignment="1">
      <alignment horizontal="center" vertical="center"/>
    </xf>
    <xf numFmtId="0" fontId="2" fillId="2" borderId="13" xfId="0" applyFont="1" applyFill="1" applyBorder="1" applyAlignment="1">
      <alignment horizontal="center" vertical="center" wrapText="1"/>
    </xf>
    <xf numFmtId="0" fontId="4" fillId="3" borderId="18" xfId="0" applyFont="1" applyFill="1" applyBorder="1" applyAlignment="1">
      <alignment horizontal="center" vertical="center"/>
    </xf>
    <xf numFmtId="166" fontId="4" fillId="3" borderId="18" xfId="2" applyFont="1" applyFill="1" applyBorder="1" applyAlignment="1" applyProtection="1">
      <alignment horizontal="center" vertical="center"/>
    </xf>
    <xf numFmtId="0" fontId="3" fillId="0" borderId="5" xfId="0" applyFont="1" applyFill="1" applyBorder="1" applyAlignment="1">
      <alignment horizontal="center" vertical="center"/>
    </xf>
    <xf numFmtId="3" fontId="3" fillId="0" borderId="8" xfId="2" applyNumberFormat="1" applyFont="1" applyFill="1" applyBorder="1" applyAlignment="1" applyProtection="1">
      <alignment horizontal="center" vertical="center"/>
    </xf>
    <xf numFmtId="4" fontId="24" fillId="0" borderId="33"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2" applyNumberFormat="1" applyFont="1" applyFill="1" applyBorder="1" applyAlignment="1" applyProtection="1">
      <alignment horizontal="center" vertical="center"/>
    </xf>
    <xf numFmtId="4" fontId="4" fillId="3" borderId="19" xfId="0" applyNumberFormat="1" applyFont="1" applyFill="1" applyBorder="1" applyAlignment="1">
      <alignment horizontal="center" vertical="center"/>
    </xf>
    <xf numFmtId="166" fontId="3" fillId="0" borderId="0" xfId="2" applyFont="1" applyFill="1" applyBorder="1" applyAlignment="1" applyProtection="1">
      <alignment horizontal="center" vertical="center"/>
    </xf>
    <xf numFmtId="0" fontId="4" fillId="0" borderId="0"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4" fontId="3" fillId="0" borderId="7" xfId="2" applyNumberFormat="1" applyFont="1" applyFill="1" applyBorder="1" applyAlignment="1" applyProtection="1">
      <alignment horizontal="center" vertical="center"/>
    </xf>
    <xf numFmtId="4" fontId="4" fillId="0" borderId="3" xfId="2" applyNumberFormat="1" applyFont="1" applyFill="1" applyBorder="1" applyAlignment="1" applyProtection="1">
      <alignment horizontal="center" vertical="center"/>
    </xf>
    <xf numFmtId="0" fontId="2" fillId="0" borderId="0" xfId="0" applyFont="1" applyAlignment="1">
      <alignment vertical="center"/>
    </xf>
    <xf numFmtId="0" fontId="2" fillId="0" borderId="18" xfId="0" applyFont="1" applyBorder="1" applyAlignment="1">
      <alignment horizontal="center" vertical="center" wrapText="1"/>
    </xf>
    <xf numFmtId="0" fontId="2" fillId="0" borderId="17"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2" xfId="0" applyFont="1" applyBorder="1" applyAlignment="1">
      <alignment vertical="center" wrapText="1"/>
    </xf>
    <xf numFmtId="0" fontId="3" fillId="0" borderId="32" xfId="0" applyFont="1" applyBorder="1" applyAlignment="1">
      <alignment horizontal="center" vertical="center" wrapText="1"/>
    </xf>
    <xf numFmtId="10" fontId="3" fillId="0" borderId="32" xfId="0" applyNumberFormat="1" applyFont="1" applyBorder="1" applyAlignment="1">
      <alignment horizontal="center" vertical="center" wrapText="1"/>
    </xf>
    <xf numFmtId="0" fontId="3" fillId="0" borderId="32" xfId="0" applyFont="1" applyBorder="1" applyAlignment="1">
      <alignment horizontal="justify" vertical="center" wrapText="1"/>
    </xf>
    <xf numFmtId="0" fontId="2" fillId="0" borderId="17" xfId="0" applyFont="1" applyBorder="1" applyAlignment="1">
      <alignment vertical="center" wrapText="1"/>
    </xf>
    <xf numFmtId="0" fontId="3" fillId="0" borderId="0" xfId="0" applyFont="1"/>
    <xf numFmtId="0" fontId="2" fillId="0" borderId="19" xfId="0" applyFont="1" applyBorder="1" applyAlignment="1">
      <alignment horizontal="center" vertical="center" wrapText="1"/>
    </xf>
    <xf numFmtId="0" fontId="2" fillId="2" borderId="1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17" xfId="0" applyFont="1" applyBorder="1" applyAlignment="1">
      <alignment horizontal="center" vertical="center" wrapText="1"/>
    </xf>
    <xf numFmtId="0" fontId="3" fillId="0" borderId="32" xfId="0" applyFont="1" applyBorder="1" applyAlignment="1">
      <alignment horizontal="center" vertical="center" wrapText="1"/>
    </xf>
    <xf numFmtId="4" fontId="3" fillId="0" borderId="32" xfId="0" applyNumberFormat="1" applyFont="1" applyBorder="1" applyAlignment="1">
      <alignment horizontal="center" vertical="center" wrapText="1"/>
    </xf>
    <xf numFmtId="0" fontId="0" fillId="0" borderId="30" xfId="0" applyBorder="1"/>
    <xf numFmtId="0" fontId="0" fillId="0" borderId="0" xfId="0" applyBorder="1"/>
    <xf numFmtId="0" fontId="0" fillId="0" borderId="34" xfId="0" applyBorder="1"/>
    <xf numFmtId="0" fontId="0" fillId="0" borderId="32" xfId="0" applyBorder="1"/>
    <xf numFmtId="4" fontId="3" fillId="0" borderId="3" xfId="0" applyNumberFormat="1" applyFont="1" applyBorder="1" applyAlignment="1">
      <alignment horizontal="center" vertical="center"/>
    </xf>
    <xf numFmtId="0" fontId="3" fillId="0" borderId="20" xfId="0" applyFont="1" applyBorder="1" applyAlignment="1">
      <alignment horizontal="justify" vertical="center" wrapText="1"/>
    </xf>
    <xf numFmtId="167" fontId="3" fillId="0" borderId="32" xfId="0" applyNumberFormat="1" applyFont="1" applyBorder="1" applyAlignment="1">
      <alignment horizontal="center" vertical="center" wrapText="1"/>
    </xf>
    <xf numFmtId="167" fontId="3" fillId="0" borderId="34" xfId="0" applyNumberFormat="1" applyFont="1" applyBorder="1" applyAlignment="1">
      <alignment horizontal="center" vertical="center" wrapText="1"/>
    </xf>
    <xf numFmtId="167" fontId="2" fillId="0" borderId="18" xfId="0" applyNumberFormat="1" applyFont="1" applyBorder="1" applyAlignment="1">
      <alignment horizontal="center"/>
    </xf>
    <xf numFmtId="167" fontId="2" fillId="0" borderId="32" xfId="0" applyNumberFormat="1" applyFont="1" applyBorder="1" applyAlignment="1">
      <alignment horizontal="center" vertical="center" wrapText="1"/>
    </xf>
    <xf numFmtId="10" fontId="3" fillId="0" borderId="18" xfId="0" applyNumberFormat="1" applyFont="1" applyBorder="1" applyAlignment="1">
      <alignment horizontal="center" vertical="center"/>
    </xf>
    <xf numFmtId="0" fontId="3" fillId="0" borderId="1" xfId="0" applyFont="1" applyBorder="1"/>
    <xf numFmtId="0" fontId="3" fillId="0" borderId="15" xfId="0" applyFont="1" applyBorder="1" applyAlignment="1">
      <alignment vertical="center" wrapText="1"/>
    </xf>
    <xf numFmtId="0" fontId="3" fillId="0" borderId="18" xfId="0" applyFont="1" applyBorder="1" applyAlignment="1">
      <alignment vertical="center" wrapText="1"/>
    </xf>
    <xf numFmtId="0" fontId="3" fillId="0" borderId="20" xfId="0" applyFont="1" applyBorder="1" applyAlignment="1">
      <alignment vertical="center" wrapText="1"/>
    </xf>
    <xf numFmtId="4" fontId="3" fillId="0" borderId="35" xfId="0" applyNumberFormat="1" applyFont="1" applyBorder="1" applyAlignment="1">
      <alignment horizontal="center" vertical="center" wrapText="1"/>
    </xf>
    <xf numFmtId="10" fontId="3" fillId="0" borderId="19" xfId="0" applyNumberFormat="1" applyFont="1" applyBorder="1" applyAlignment="1">
      <alignment horizontal="center" vertical="center" wrapText="1"/>
    </xf>
    <xf numFmtId="4" fontId="3" fillId="0" borderId="18" xfId="0" applyNumberFormat="1" applyFont="1" applyBorder="1" applyAlignment="1">
      <alignment horizontal="center" vertical="center" wrapText="1"/>
    </xf>
    <xf numFmtId="4" fontId="2" fillId="0" borderId="32" xfId="0" applyNumberFormat="1" applyFont="1" applyBorder="1" applyAlignment="1">
      <alignment horizontal="center" vertical="center" wrapText="1"/>
    </xf>
    <xf numFmtId="10" fontId="2" fillId="0" borderId="32" xfId="0" applyNumberFormat="1" applyFont="1" applyBorder="1" applyAlignment="1">
      <alignment horizontal="center" vertical="center" wrapText="1"/>
    </xf>
    <xf numFmtId="4" fontId="2" fillId="0" borderId="18" xfId="0" applyNumberFormat="1" applyFont="1" applyBorder="1" applyAlignment="1">
      <alignment horizontal="center" vertical="center" wrapText="1"/>
    </xf>
    <xf numFmtId="4" fontId="3" fillId="0" borderId="32" xfId="0" applyNumberFormat="1" applyFont="1" applyBorder="1" applyAlignment="1">
      <alignment vertical="center" wrapText="1"/>
    </xf>
    <xf numFmtId="0" fontId="3" fillId="37" borderId="32" xfId="0" applyFont="1" applyFill="1" applyBorder="1" applyAlignment="1">
      <alignment vertical="center" wrapText="1"/>
    </xf>
    <xf numFmtId="10" fontId="3" fillId="37" borderId="32" xfId="0" applyNumberFormat="1" applyFont="1" applyFill="1" applyBorder="1" applyAlignment="1">
      <alignment horizontal="center" vertical="center" wrapText="1"/>
    </xf>
    <xf numFmtId="4" fontId="3" fillId="37" borderId="32" xfId="0" applyNumberFormat="1" applyFont="1" applyFill="1" applyBorder="1" applyAlignment="1">
      <alignment horizontal="center" vertical="center" wrapText="1"/>
    </xf>
    <xf numFmtId="4" fontId="2" fillId="0" borderId="32" xfId="0" applyNumberFormat="1" applyFont="1" applyBorder="1" applyAlignment="1">
      <alignment vertical="center" wrapText="1"/>
    </xf>
    <xf numFmtId="0" fontId="3" fillId="0" borderId="34" xfId="0" applyFont="1" applyBorder="1" applyAlignment="1">
      <alignment vertical="center" wrapText="1"/>
    </xf>
    <xf numFmtId="0" fontId="3" fillId="0" borderId="18" xfId="0" applyFont="1" applyBorder="1" applyAlignment="1">
      <alignment horizontal="center" vertical="center" wrapText="1"/>
    </xf>
    <xf numFmtId="0" fontId="2" fillId="0" borderId="17" xfId="0" applyFont="1" applyBorder="1" applyAlignment="1">
      <alignment horizontal="center" vertical="center" wrapText="1"/>
    </xf>
    <xf numFmtId="43" fontId="27" fillId="0" borderId="1" xfId="4" applyFont="1" applyBorder="1" applyAlignment="1">
      <alignment horizontal="right" vertical="center" wrapText="1"/>
    </xf>
    <xf numFmtId="3" fontId="27" fillId="0" borderId="1" xfId="52" applyNumberFormat="1" applyFont="1" applyBorder="1" applyAlignment="1">
      <alignment horizontal="center" vertical="center" wrapText="1"/>
    </xf>
    <xf numFmtId="4" fontId="27" fillId="0" borderId="1" xfId="52" applyNumberFormat="1" applyFont="1" applyBorder="1" applyAlignment="1">
      <alignment horizontal="right" vertical="center" wrapText="1"/>
    </xf>
    <xf numFmtId="0" fontId="27" fillId="0" borderId="1" xfId="52" applyFont="1" applyBorder="1" applyAlignment="1">
      <alignment horizontal="center" vertical="center" wrapText="1"/>
    </xf>
    <xf numFmtId="0" fontId="26" fillId="38" borderId="1" xfId="52" applyFont="1" applyFill="1" applyBorder="1" applyAlignment="1">
      <alignment horizontal="center" vertical="center" wrapText="1"/>
    </xf>
    <xf numFmtId="4" fontId="27" fillId="0" borderId="1" xfId="52" applyNumberFormat="1" applyFont="1" applyFill="1" applyBorder="1" applyAlignment="1">
      <alignment vertical="center" wrapText="1"/>
    </xf>
    <xf numFmtId="0" fontId="3" fillId="0" borderId="0" xfId="0" applyFont="1" applyBorder="1" applyAlignment="1">
      <alignment horizontal="center" vertical="center"/>
    </xf>
    <xf numFmtId="0" fontId="2" fillId="0" borderId="17" xfId="0" applyFont="1" applyBorder="1" applyAlignment="1">
      <alignment horizontal="center" vertical="center" wrapText="1"/>
    </xf>
    <xf numFmtId="4" fontId="3" fillId="0" borderId="34"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wrapText="1"/>
    </xf>
    <xf numFmtId="3" fontId="28" fillId="42" borderId="1" xfId="52" applyNumberFormat="1" applyFont="1" applyFill="1" applyBorder="1" applyAlignment="1">
      <alignment horizontal="center" vertical="center" wrapText="1"/>
    </xf>
    <xf numFmtId="4" fontId="26" fillId="42" borderId="1" xfId="52" applyNumberFormat="1" applyFont="1" applyFill="1" applyBorder="1" applyAlignment="1">
      <alignment horizontal="center" vertical="center" wrapText="1"/>
    </xf>
    <xf numFmtId="3" fontId="0" fillId="0" borderId="0" xfId="0" applyNumberFormat="1"/>
    <xf numFmtId="0" fontId="0" fillId="0" borderId="1" xfId="0" applyBorder="1" applyAlignment="1">
      <alignment horizontal="center" vertical="center"/>
    </xf>
    <xf numFmtId="4" fontId="27" fillId="0" borderId="1" xfId="52" applyNumberFormat="1" applyFont="1" applyBorder="1" applyAlignment="1">
      <alignment horizontal="center" vertical="center" wrapText="1"/>
    </xf>
    <xf numFmtId="4" fontId="27" fillId="0" borderId="1" xfId="52" applyNumberFormat="1" applyFont="1" applyFill="1" applyBorder="1" applyAlignment="1">
      <alignment horizontal="center" vertical="center" wrapText="1"/>
    </xf>
    <xf numFmtId="3" fontId="29" fillId="43" borderId="1" xfId="52" applyNumberFormat="1" applyFont="1" applyFill="1" applyBorder="1" applyAlignment="1">
      <alignment horizontal="center" vertical="center" wrapText="1"/>
    </xf>
    <xf numFmtId="4" fontId="29" fillId="43" borderId="1" xfId="52" applyNumberFormat="1" applyFont="1" applyFill="1" applyBorder="1" applyAlignment="1">
      <alignment horizontal="center" vertical="center" wrapText="1"/>
    </xf>
    <xf numFmtId="4" fontId="3" fillId="0" borderId="0" xfId="2" applyNumberFormat="1" applyFont="1" applyFill="1" applyBorder="1" applyAlignment="1" applyProtection="1">
      <alignment horizontal="center" vertical="center"/>
    </xf>
    <xf numFmtId="4" fontId="4" fillId="0" borderId="0" xfId="2" applyNumberFormat="1" applyFont="1" applyFill="1" applyBorder="1" applyAlignment="1" applyProtection="1">
      <alignment horizontal="center" vertical="center"/>
    </xf>
    <xf numFmtId="0" fontId="0" fillId="0" borderId="1" xfId="0" applyBorder="1" applyAlignment="1">
      <alignment vertical="center" wrapText="1"/>
    </xf>
    <xf numFmtId="169" fontId="0" fillId="0" borderId="0" xfId="0" applyNumberFormat="1"/>
    <xf numFmtId="4" fontId="26" fillId="42" borderId="1" xfId="52"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Fill="1" applyBorder="1" applyAlignment="1">
      <alignment horizontal="center"/>
    </xf>
    <xf numFmtId="164" fontId="0" fillId="0" borderId="0" xfId="0" applyNumberFormat="1" applyFill="1"/>
    <xf numFmtId="0" fontId="0" fillId="42" borderId="1" xfId="0" applyFill="1" applyBorder="1" applyAlignment="1">
      <alignment horizontal="center" vertical="center"/>
    </xf>
    <xf numFmtId="4" fontId="27" fillId="42" borderId="1" xfId="52" applyNumberFormat="1"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0" fillId="0" borderId="0" xfId="0" applyBorder="1" applyAlignment="1">
      <alignment horizontal="center" vertical="center"/>
    </xf>
    <xf numFmtId="0" fontId="34" fillId="0" borderId="0" xfId="0" applyFont="1"/>
    <xf numFmtId="0" fontId="3" fillId="0" borderId="1" xfId="0" applyFont="1" applyBorder="1" applyAlignment="1">
      <alignment horizontal="center" vertical="center"/>
    </xf>
    <xf numFmtId="165" fontId="3" fillId="0" borderId="1" xfId="0" applyNumberFormat="1" applyFont="1" applyBorder="1" applyAlignment="1">
      <alignment horizontal="center" vertical="center"/>
    </xf>
    <xf numFmtId="9" fontId="3" fillId="0" borderId="1" xfId="1" applyFont="1" applyBorder="1" applyAlignment="1">
      <alignment horizontal="center" vertical="center"/>
    </xf>
    <xf numFmtId="165" fontId="2" fillId="0" borderId="1" xfId="0" applyNumberFormat="1" applyFont="1" applyBorder="1" applyAlignment="1">
      <alignment horizontal="center" vertical="center"/>
    </xf>
    <xf numFmtId="3" fontId="26" fillId="42" borderId="1" xfId="52" applyNumberFormat="1" applyFont="1" applyFill="1" applyBorder="1" applyAlignment="1">
      <alignment horizontal="center" vertical="center" wrapText="1"/>
    </xf>
    <xf numFmtId="0" fontId="0" fillId="0" borderId="1" xfId="0" applyBorder="1" applyAlignment="1">
      <alignment horizontal="center" vertical="center" wrapText="1"/>
    </xf>
    <xf numFmtId="0" fontId="28" fillId="42" borderId="38" xfId="52" applyFont="1" applyFill="1" applyBorder="1" applyAlignment="1">
      <alignment horizontal="center" vertical="center" wrapText="1"/>
    </xf>
    <xf numFmtId="0" fontId="28" fillId="42" borderId="39" xfId="52" applyFont="1" applyFill="1" applyBorder="1" applyAlignment="1">
      <alignment horizontal="center" vertical="center" wrapText="1"/>
    </xf>
    <xf numFmtId="0" fontId="28" fillId="42" borderId="40" xfId="52" applyFont="1" applyFill="1" applyBorder="1" applyAlignment="1">
      <alignment horizontal="center" vertical="center" wrapText="1"/>
    </xf>
    <xf numFmtId="0" fontId="0" fillId="0" borderId="0" xfId="0" applyAlignment="1">
      <alignment horizontal="center" vertical="center" wrapText="1"/>
    </xf>
    <xf numFmtId="4" fontId="20" fillId="0" borderId="1" xfId="0" applyNumberFormat="1" applyFont="1" applyBorder="1" applyAlignment="1">
      <alignment horizontal="center" vertical="center"/>
    </xf>
    <xf numFmtId="0" fontId="2" fillId="0" borderId="17" xfId="0" applyFont="1" applyBorder="1" applyAlignment="1">
      <alignment horizontal="center" vertical="center" wrapText="1"/>
    </xf>
    <xf numFmtId="0" fontId="0" fillId="0" borderId="1" xfId="0" applyBorder="1" applyAlignment="1">
      <alignment horizontal="center" vertical="center" wrapText="1"/>
    </xf>
    <xf numFmtId="1" fontId="3" fillId="0" borderId="1" xfId="0" applyNumberFormat="1" applyFont="1" applyBorder="1" applyAlignment="1">
      <alignment horizontal="center" vertical="center"/>
    </xf>
    <xf numFmtId="0" fontId="4" fillId="40" borderId="1" xfId="0" applyFont="1" applyFill="1" applyBorder="1" applyAlignment="1">
      <alignment vertical="center" wrapText="1"/>
    </xf>
    <xf numFmtId="10" fontId="32" fillId="0" borderId="1" xfId="1" applyNumberFormat="1" applyFont="1" applyFill="1" applyBorder="1" applyAlignment="1" applyProtection="1">
      <alignment horizontal="center" vertical="center"/>
    </xf>
    <xf numFmtId="0" fontId="24" fillId="40" borderId="1" xfId="0" applyFont="1" applyFill="1" applyBorder="1" applyAlignment="1">
      <alignment wrapText="1"/>
    </xf>
    <xf numFmtId="0" fontId="30" fillId="39" borderId="1" xfId="0" applyFont="1" applyFill="1" applyBorder="1" applyAlignment="1">
      <alignment horizontal="center" vertical="center"/>
    </xf>
    <xf numFmtId="9" fontId="30" fillId="39" borderId="1" xfId="1" applyFont="1" applyFill="1" applyBorder="1" applyAlignment="1" applyProtection="1">
      <alignment horizontal="center" vertical="center" wrapText="1"/>
    </xf>
    <xf numFmtId="0" fontId="4" fillId="0" borderId="1" xfId="0" applyFont="1" applyBorder="1" applyAlignment="1">
      <alignment vertical="center" wrapText="1"/>
    </xf>
    <xf numFmtId="168" fontId="4" fillId="0" borderId="1" xfId="0" applyNumberFormat="1" applyFont="1" applyBorder="1" applyAlignment="1">
      <alignment vertical="center" wrapText="1"/>
    </xf>
    <xf numFmtId="4" fontId="4" fillId="0" borderId="1" xfId="0" applyNumberFormat="1" applyFont="1" applyBorder="1" applyAlignment="1">
      <alignment vertical="center" wrapText="1"/>
    </xf>
    <xf numFmtId="0" fontId="4" fillId="0" borderId="1" xfId="0" applyFont="1" applyFill="1" applyBorder="1" applyAlignment="1">
      <alignment vertical="center" wrapText="1"/>
    </xf>
    <xf numFmtId="0" fontId="24" fillId="0" borderId="1" xfId="0" applyFont="1" applyFill="1" applyBorder="1" applyAlignment="1">
      <alignment wrapText="1"/>
    </xf>
    <xf numFmtId="10" fontId="24" fillId="41" borderId="1" xfId="0" applyNumberFormat="1" applyFont="1" applyFill="1" applyBorder="1" applyAlignment="1">
      <alignment horizontal="center" vertical="center" wrapText="1"/>
    </xf>
    <xf numFmtId="10" fontId="24" fillId="0" borderId="1" xfId="1" applyNumberFormat="1" applyFont="1" applyFill="1" applyBorder="1" applyAlignment="1" applyProtection="1">
      <alignment horizontal="center" vertical="center"/>
    </xf>
    <xf numFmtId="0" fontId="37" fillId="0" borderId="40" xfId="0" applyFont="1" applyBorder="1" applyAlignment="1">
      <alignment vertical="center" wrapText="1"/>
    </xf>
    <xf numFmtId="168" fontId="0" fillId="0" borderId="1" xfId="0" applyNumberFormat="1" applyBorder="1" applyAlignment="1">
      <alignment wrapText="1"/>
    </xf>
    <xf numFmtId="0" fontId="4" fillId="0" borderId="1" xfId="0" applyFont="1" applyBorder="1" applyAlignment="1">
      <alignment horizontal="center" vertical="center" wrapText="1"/>
    </xf>
    <xf numFmtId="0" fontId="20" fillId="45" borderId="1" xfId="0" applyFont="1" applyFill="1" applyBorder="1" applyAlignment="1">
      <alignment horizontal="center" vertical="center" wrapText="1"/>
    </xf>
    <xf numFmtId="0" fontId="40" fillId="45" borderId="1" xfId="0" applyFont="1" applyFill="1" applyBorder="1" applyAlignment="1">
      <alignment horizontal="center" vertical="center" wrapText="1"/>
    </xf>
    <xf numFmtId="168" fontId="4" fillId="45" borderId="1" xfId="0" applyNumberFormat="1" applyFont="1" applyFill="1" applyBorder="1" applyAlignment="1">
      <alignment horizontal="center" vertical="center" wrapText="1"/>
    </xf>
    <xf numFmtId="164" fontId="24" fillId="40" borderId="1" xfId="53" applyFont="1" applyFill="1" applyBorder="1" applyAlignment="1" applyProtection="1"/>
    <xf numFmtId="168" fontId="4" fillId="46" borderId="1" xfId="0" applyNumberFormat="1" applyFont="1" applyFill="1" applyBorder="1" applyAlignment="1">
      <alignment horizontal="right" vertical="center"/>
    </xf>
    <xf numFmtId="0" fontId="20" fillId="0" borderId="1" xfId="0" applyFont="1" applyFill="1" applyBorder="1" applyAlignment="1">
      <alignment horizontal="center" wrapText="1"/>
    </xf>
    <xf numFmtId="0" fontId="4" fillId="0" borderId="1" xfId="0" applyFont="1" applyFill="1" applyBorder="1" applyAlignment="1">
      <alignment vertical="center" wrapText="1"/>
    </xf>
    <xf numFmtId="168" fontId="4" fillId="0" borderId="1" xfId="0" applyNumberFormat="1" applyFont="1" applyFill="1" applyBorder="1" applyAlignment="1">
      <alignment horizontal="right" vertical="center"/>
    </xf>
    <xf numFmtId="168" fontId="4" fillId="0" borderId="1" xfId="53" applyNumberFormat="1" applyFont="1" applyFill="1" applyBorder="1" applyAlignment="1" applyProtection="1">
      <alignment horizontal="right" vertical="center"/>
    </xf>
    <xf numFmtId="164" fontId="24" fillId="0" borderId="1" xfId="53" applyFont="1" applyFill="1" applyBorder="1" applyAlignment="1" applyProtection="1"/>
    <xf numFmtId="164" fontId="24" fillId="41" borderId="1" xfId="53" applyFont="1" applyFill="1" applyBorder="1" applyAlignment="1" applyProtection="1">
      <alignment horizontal="center" vertical="center"/>
    </xf>
    <xf numFmtId="2" fontId="4" fillId="0" borderId="1" xfId="0" applyNumberFormat="1" applyFont="1" applyBorder="1" applyAlignment="1">
      <alignment vertical="center" wrapText="1"/>
    </xf>
    <xf numFmtId="4" fontId="4" fillId="47" borderId="1" xfId="0" applyNumberFormat="1" applyFont="1" applyFill="1" applyBorder="1" applyAlignment="1">
      <alignment vertical="center" wrapText="1"/>
    </xf>
    <xf numFmtId="168" fontId="30" fillId="39" borderId="1" xfId="0" applyNumberFormat="1" applyFont="1" applyFill="1" applyBorder="1" applyAlignment="1">
      <alignment horizontal="right" vertical="center" wrapText="1"/>
    </xf>
    <xf numFmtId="168" fontId="4" fillId="39" borderId="1" xfId="0" applyNumberFormat="1" applyFont="1" applyFill="1" applyBorder="1" applyAlignment="1">
      <alignment horizontal="right" vertical="center"/>
    </xf>
    <xf numFmtId="164" fontId="39" fillId="0" borderId="1" xfId="0" applyNumberFormat="1" applyFont="1" applyFill="1" applyBorder="1"/>
    <xf numFmtId="168" fontId="24" fillId="41" borderId="1" xfId="53" applyNumberFormat="1" applyFont="1" applyFill="1" applyBorder="1" applyAlignment="1" applyProtection="1">
      <alignment horizontal="right" vertical="center"/>
    </xf>
    <xf numFmtId="168" fontId="24" fillId="41" borderId="1" xfId="0" applyNumberFormat="1" applyFont="1" applyFill="1" applyBorder="1" applyAlignment="1">
      <alignment horizontal="right" vertical="center"/>
    </xf>
    <xf numFmtId="0" fontId="40" fillId="0" borderId="1" xfId="0" applyFont="1" applyFill="1" applyBorder="1" applyAlignment="1">
      <alignment horizontal="center" wrapText="1"/>
    </xf>
    <xf numFmtId="168" fontId="4" fillId="48" borderId="1" xfId="0" applyNumberFormat="1" applyFont="1" applyFill="1" applyBorder="1" applyAlignment="1">
      <alignment horizontal="right" vertical="center"/>
    </xf>
    <xf numFmtId="0" fontId="0" fillId="0" borderId="1" xfId="0" applyBorder="1" applyAlignment="1">
      <alignment horizontal="center"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4" fontId="0" fillId="41" borderId="1" xfId="0" applyNumberFormat="1" applyFill="1" applyBorder="1" applyAlignment="1">
      <alignment horizontal="center" vertical="center" wrapText="1"/>
    </xf>
    <xf numFmtId="0" fontId="0" fillId="0" borderId="0" xfId="0" applyBorder="1" applyAlignment="1">
      <alignment horizontal="center"/>
    </xf>
    <xf numFmtId="4" fontId="0" fillId="0" borderId="0" xfId="0" applyNumberFormat="1" applyBorder="1" applyAlignment="1">
      <alignment horizontal="center" vertical="center"/>
    </xf>
    <xf numFmtId="4" fontId="0" fillId="41" borderId="1" xfId="0" applyNumberFormat="1" applyFill="1" applyBorder="1" applyAlignment="1">
      <alignment horizontal="center" vertical="center"/>
    </xf>
    <xf numFmtId="0" fontId="0" fillId="0" borderId="1" xfId="0" applyBorder="1" applyAlignment="1">
      <alignment horizontal="left" vertical="center" wrapText="1"/>
    </xf>
    <xf numFmtId="166" fontId="3" fillId="41" borderId="8" xfId="2" applyFont="1" applyFill="1" applyBorder="1" applyAlignment="1" applyProtection="1">
      <alignment horizontal="center" vertical="center"/>
    </xf>
    <xf numFmtId="10" fontId="24" fillId="41" borderId="32" xfId="0" applyNumberFormat="1" applyFont="1" applyFill="1" applyBorder="1" applyAlignment="1">
      <alignment horizontal="center" vertical="center" wrapText="1"/>
    </xf>
    <xf numFmtId="10" fontId="3" fillId="41" borderId="32" xfId="0" applyNumberFormat="1" applyFont="1" applyFill="1" applyBorder="1" applyAlignment="1">
      <alignment horizontal="center" vertical="center" wrapText="1"/>
    </xf>
    <xf numFmtId="0" fontId="3" fillId="50" borderId="1" xfId="0" applyFont="1" applyFill="1" applyBorder="1"/>
    <xf numFmtId="4" fontId="2" fillId="50" borderId="1" xfId="0" applyNumberFormat="1" applyFont="1" applyFill="1" applyBorder="1" applyAlignment="1">
      <alignment vertical="center" wrapText="1"/>
    </xf>
    <xf numFmtId="169" fontId="0" fillId="0" borderId="0" xfId="0" applyNumberFormat="1" applyAlignment="1">
      <alignment horizontal="center" vertical="center"/>
    </xf>
    <xf numFmtId="0" fontId="36" fillId="0" borderId="1" xfId="0" applyFont="1" applyBorder="1" applyAlignment="1">
      <alignment horizontal="center" vertical="center" wrapText="1"/>
    </xf>
    <xf numFmtId="4" fontId="36" fillId="0" borderId="1" xfId="0" applyNumberFormat="1" applyFont="1" applyBorder="1" applyAlignment="1">
      <alignment horizontal="center" vertical="center" wrapText="1"/>
    </xf>
    <xf numFmtId="0" fontId="0" fillId="0" borderId="0" xfId="0" applyAlignment="1">
      <alignment vertical="center"/>
    </xf>
    <xf numFmtId="0" fontId="41" fillId="0" borderId="0" xfId="0" applyFont="1" applyAlignment="1">
      <alignment vertical="center"/>
    </xf>
    <xf numFmtId="10" fontId="32" fillId="41" borderId="1" xfId="1" applyNumberFormat="1" applyFont="1" applyFill="1" applyBorder="1" applyAlignment="1" applyProtection="1">
      <alignment horizontal="center" vertical="center"/>
    </xf>
    <xf numFmtId="10" fontId="24" fillId="41" borderId="1" xfId="1" applyNumberFormat="1" applyFont="1" applyFill="1" applyBorder="1" applyAlignment="1" applyProtection="1">
      <alignment horizontal="center" vertical="center"/>
    </xf>
    <xf numFmtId="0" fontId="20" fillId="0" borderId="1" xfId="0" applyFont="1" applyBorder="1" applyAlignment="1">
      <alignment vertical="center" wrapText="1"/>
    </xf>
    <xf numFmtId="0" fontId="0" fillId="0" borderId="1" xfId="0" applyBorder="1" applyAlignment="1">
      <alignment horizontal="center"/>
    </xf>
    <xf numFmtId="0" fontId="41"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wrapText="1"/>
    </xf>
    <xf numFmtId="0" fontId="0" fillId="41" borderId="1" xfId="0" applyFill="1" applyBorder="1" applyAlignment="1">
      <alignment horizontal="center"/>
    </xf>
    <xf numFmtId="0" fontId="20" fillId="0" borderId="1" xfId="0" applyFont="1" applyBorder="1" applyAlignment="1">
      <alignment horizontal="center"/>
    </xf>
    <xf numFmtId="0" fontId="2" fillId="0" borderId="15" xfId="0" applyFont="1" applyBorder="1" applyAlignment="1">
      <alignment horizontal="center" vertical="center" wrapText="1"/>
    </xf>
    <xf numFmtId="0" fontId="2" fillId="0" borderId="17" xfId="0" applyFont="1" applyBorder="1" applyAlignment="1">
      <alignment horizontal="center" vertical="center" wrapText="1"/>
    </xf>
    <xf numFmtId="0" fontId="2" fillId="2" borderId="0" xfId="0" applyFont="1" applyFill="1" applyAlignment="1">
      <alignment horizontal="center" vertical="center"/>
    </xf>
    <xf numFmtId="0" fontId="2" fillId="35" borderId="0" xfId="0" applyFont="1" applyFill="1" applyBorder="1" applyAlignment="1">
      <alignment horizontal="center" vertical="center"/>
    </xf>
    <xf numFmtId="0" fontId="2" fillId="37" borderId="15" xfId="0" applyFont="1" applyFill="1" applyBorder="1" applyAlignment="1">
      <alignment horizontal="center" vertical="center" wrapText="1"/>
    </xf>
    <xf numFmtId="0" fontId="2" fillId="37" borderId="17" xfId="0" applyFont="1" applyFill="1" applyBorder="1" applyAlignment="1">
      <alignment horizontal="center" vertical="center" wrapText="1"/>
    </xf>
    <xf numFmtId="0" fontId="2" fillId="35" borderId="0" xfId="0" applyFont="1" applyFill="1" applyBorder="1" applyAlignment="1">
      <alignment horizontal="center" vertical="center" wrapText="1"/>
    </xf>
    <xf numFmtId="0" fontId="3" fillId="0" borderId="1" xfId="0" applyFont="1" applyBorder="1" applyAlignment="1">
      <alignment horizontal="center"/>
    </xf>
    <xf numFmtId="0" fontId="3" fillId="0" borderId="36" xfId="0" applyFont="1" applyBorder="1" applyAlignment="1">
      <alignment horizontal="center" wrapText="1"/>
    </xf>
    <xf numFmtId="0" fontId="3" fillId="0" borderId="0" xfId="0" applyFont="1" applyAlignment="1">
      <alignment horizontal="center" wrapText="1"/>
    </xf>
    <xf numFmtId="0" fontId="25" fillId="36" borderId="0" xfId="0" applyFont="1" applyFill="1" applyAlignment="1">
      <alignment horizontal="center"/>
    </xf>
    <xf numFmtId="0" fontId="2" fillId="2" borderId="0" xfId="0" applyFont="1" applyFill="1" applyBorder="1" applyAlignment="1">
      <alignment horizontal="center" vertical="center"/>
    </xf>
    <xf numFmtId="0" fontId="23" fillId="0" borderId="0" xfId="0" applyFont="1" applyAlignment="1">
      <alignment horizontal="center" vertical="center"/>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3" fillId="0" borderId="1" xfId="0" applyFont="1" applyBorder="1" applyAlignment="1">
      <alignment horizontal="center" wrapText="1"/>
    </xf>
    <xf numFmtId="0" fontId="4" fillId="47" borderId="38" xfId="0" applyFont="1" applyFill="1" applyBorder="1" applyAlignment="1">
      <alignment horizontal="center" vertical="center" wrapText="1"/>
    </xf>
    <xf numFmtId="0" fontId="4" fillId="47" borderId="40" xfId="0" applyFont="1" applyFill="1" applyBorder="1" applyAlignment="1">
      <alignment horizontal="center" vertical="center" wrapText="1"/>
    </xf>
    <xf numFmtId="0" fontId="31" fillId="39" borderId="1" xfId="0" applyFont="1" applyFill="1" applyBorder="1" applyAlignment="1">
      <alignment horizontal="center" vertical="center"/>
    </xf>
    <xf numFmtId="0" fontId="30" fillId="39" borderId="1" xfId="0" applyFont="1" applyFill="1" applyBorder="1" applyAlignment="1">
      <alignment horizontal="center" vertical="center" wrapText="1"/>
    </xf>
    <xf numFmtId="0" fontId="24" fillId="0" borderId="1" xfId="0" applyFont="1" applyFill="1" applyBorder="1" applyAlignment="1">
      <alignment vertical="center" wrapText="1"/>
    </xf>
    <xf numFmtId="0" fontId="24" fillId="40" borderId="1" xfId="0" applyFont="1" applyFill="1" applyBorder="1" applyAlignment="1">
      <alignment vertical="center" wrapText="1"/>
    </xf>
    <xf numFmtId="0" fontId="4" fillId="0" borderId="1" xfId="0" applyFont="1" applyFill="1" applyBorder="1" applyAlignment="1">
      <alignment vertical="center" wrapText="1"/>
    </xf>
    <xf numFmtId="0" fontId="20" fillId="45" borderId="1" xfId="0" applyFont="1" applyFill="1" applyBorder="1" applyAlignment="1">
      <alignment horizontal="center"/>
    </xf>
    <xf numFmtId="0" fontId="39" fillId="0" borderId="1" xfId="0" applyFont="1" applyFill="1" applyBorder="1" applyAlignment="1">
      <alignment horizontal="center"/>
    </xf>
    <xf numFmtId="0" fontId="4" fillId="39" borderId="1" xfId="0" applyFont="1" applyFill="1" applyBorder="1" applyAlignment="1">
      <alignment vertical="center" wrapText="1"/>
    </xf>
    <xf numFmtId="0" fontId="4" fillId="0" borderId="1" xfId="0" applyFont="1" applyFill="1" applyBorder="1" applyAlignment="1">
      <alignment horizontal="center" vertical="center" wrapText="1"/>
    </xf>
    <xf numFmtId="0" fontId="40" fillId="35" borderId="1" xfId="0" applyFont="1" applyFill="1" applyBorder="1" applyAlignment="1">
      <alignment horizontal="center"/>
    </xf>
    <xf numFmtId="0" fontId="40" fillId="0" borderId="1" xfId="0" applyFont="1" applyFill="1" applyBorder="1" applyAlignment="1">
      <alignment horizontal="center" wrapText="1"/>
    </xf>
    <xf numFmtId="0" fontId="39" fillId="0" borderId="1" xfId="0" applyFont="1" applyFill="1" applyBorder="1" applyAlignment="1">
      <alignment horizontal="left" wrapText="1"/>
    </xf>
    <xf numFmtId="0" fontId="40" fillId="0" borderId="1" xfId="0" applyFont="1" applyFill="1" applyBorder="1" applyAlignment="1">
      <alignment horizontal="left" wrapText="1"/>
    </xf>
    <xf numFmtId="0" fontId="39" fillId="0" borderId="1" xfId="0" applyFont="1" applyFill="1" applyBorder="1" applyAlignment="1">
      <alignment horizontal="center" vertical="center" wrapText="1"/>
    </xf>
    <xf numFmtId="0" fontId="4" fillId="48" borderId="1" xfId="0" applyFont="1" applyFill="1" applyBorder="1" applyAlignment="1">
      <alignment horizontal="center" vertical="center" wrapText="1"/>
    </xf>
    <xf numFmtId="168" fontId="30" fillId="39" borderId="1" xfId="0" applyNumberFormat="1" applyFont="1" applyFill="1" applyBorder="1" applyAlignment="1">
      <alignment horizontal="center" vertical="center" wrapText="1"/>
    </xf>
    <xf numFmtId="0" fontId="31" fillId="39" borderId="51" xfId="0" applyFont="1" applyFill="1" applyBorder="1" applyAlignment="1">
      <alignment horizontal="center" vertical="center"/>
    </xf>
    <xf numFmtId="0" fontId="31" fillId="39" borderId="0" xfId="0" applyFont="1" applyFill="1" applyBorder="1" applyAlignment="1">
      <alignment horizontal="center" vertical="center"/>
    </xf>
    <xf numFmtId="164" fontId="24" fillId="0" borderId="1" xfId="53" applyFont="1" applyFill="1" applyBorder="1" applyAlignment="1" applyProtection="1">
      <alignment horizontal="center" vertical="center"/>
    </xf>
    <xf numFmtId="0" fontId="4" fillId="39" borderId="1" xfId="0" applyFont="1" applyFill="1" applyBorder="1" applyAlignment="1">
      <alignment horizontal="center" vertical="center" wrapText="1"/>
    </xf>
    <xf numFmtId="0" fontId="38" fillId="0" borderId="38" xfId="0" applyFont="1" applyFill="1" applyBorder="1" applyAlignment="1">
      <alignment horizontal="center" vertical="center" wrapText="1"/>
    </xf>
    <xf numFmtId="0" fontId="38" fillId="0" borderId="40" xfId="0" applyFont="1" applyFill="1" applyBorder="1" applyAlignment="1">
      <alignment horizontal="center" vertical="center" wrapText="1"/>
    </xf>
    <xf numFmtId="168" fontId="4" fillId="0" borderId="1" xfId="53" applyNumberFormat="1" applyFont="1" applyFill="1" applyBorder="1" applyAlignment="1" applyProtection="1">
      <alignment horizontal="center" vertical="center"/>
    </xf>
    <xf numFmtId="164" fontId="24" fillId="40" borderId="1" xfId="53" applyFont="1" applyFill="1" applyBorder="1" applyAlignment="1" applyProtection="1">
      <alignment horizontal="center" vertical="center"/>
    </xf>
    <xf numFmtId="168" fontId="4" fillId="0" borderId="38" xfId="53" applyNumberFormat="1" applyFont="1" applyFill="1" applyBorder="1" applyAlignment="1" applyProtection="1">
      <alignment horizontal="center" vertical="center" wrapText="1"/>
    </xf>
    <xf numFmtId="168" fontId="4" fillId="0" borderId="40" xfId="53" applyNumberFormat="1" applyFont="1" applyFill="1" applyBorder="1" applyAlignment="1" applyProtection="1">
      <alignment horizontal="center" vertical="center" wrapText="1"/>
    </xf>
    <xf numFmtId="168" fontId="4" fillId="45" borderId="38" xfId="0" applyNumberFormat="1" applyFont="1" applyFill="1" applyBorder="1" applyAlignment="1">
      <alignment horizontal="center" vertical="center" wrapText="1"/>
    </xf>
    <xf numFmtId="168" fontId="4" fillId="45" borderId="39" xfId="0" applyNumberFormat="1" applyFont="1" applyFill="1" applyBorder="1" applyAlignment="1">
      <alignment horizontal="center" vertical="center" wrapText="1"/>
    </xf>
    <xf numFmtId="168" fontId="4" fillId="45" borderId="40" xfId="0" applyNumberFormat="1" applyFont="1" applyFill="1" applyBorder="1" applyAlignment="1">
      <alignment horizontal="center" vertical="center" wrapText="1"/>
    </xf>
    <xf numFmtId="0" fontId="20" fillId="45" borderId="1" xfId="0" applyFont="1" applyFill="1" applyBorder="1" applyAlignment="1">
      <alignment horizontal="center" vertical="center" wrapText="1"/>
    </xf>
    <xf numFmtId="168" fontId="4" fillId="39" borderId="1" xfId="0" applyNumberFormat="1" applyFont="1" applyFill="1" applyBorder="1" applyAlignment="1">
      <alignment horizontal="center" vertical="center"/>
    </xf>
    <xf numFmtId="0" fontId="37" fillId="0" borderId="38" xfId="0" applyFont="1" applyFill="1" applyBorder="1" applyAlignment="1">
      <alignment horizontal="center" vertical="center" wrapText="1"/>
    </xf>
    <xf numFmtId="0" fontId="37" fillId="0" borderId="40" xfId="0" applyFont="1" applyFill="1" applyBorder="1" applyAlignment="1">
      <alignment horizontal="center" vertical="center" wrapText="1"/>
    </xf>
    <xf numFmtId="168" fontId="24" fillId="41" borderId="38" xfId="0" applyNumberFormat="1" applyFont="1" applyFill="1" applyBorder="1" applyAlignment="1">
      <alignment horizontal="center" vertical="center"/>
    </xf>
    <xf numFmtId="168" fontId="24" fillId="41" borderId="40" xfId="0" applyNumberFormat="1" applyFont="1" applyFill="1" applyBorder="1" applyAlignment="1">
      <alignment horizontal="center" vertical="center"/>
    </xf>
    <xf numFmtId="168" fontId="24" fillId="41" borderId="38" xfId="53" applyNumberFormat="1" applyFont="1" applyFill="1" applyBorder="1" applyAlignment="1" applyProtection="1">
      <alignment horizontal="center" vertical="center"/>
    </xf>
    <xf numFmtId="168" fontId="24" fillId="41" borderId="40" xfId="53" applyNumberFormat="1" applyFont="1" applyFill="1" applyBorder="1" applyAlignment="1" applyProtection="1">
      <alignment horizontal="center" vertical="center"/>
    </xf>
    <xf numFmtId="0" fontId="4" fillId="0" borderId="38"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20" fillId="35" borderId="1" xfId="0" applyFont="1" applyFill="1" applyBorder="1" applyAlignment="1">
      <alignment horizontal="center"/>
    </xf>
    <xf numFmtId="0" fontId="4" fillId="46" borderId="1" xfId="0" applyFont="1" applyFill="1" applyBorder="1" applyAlignment="1">
      <alignment horizontal="center" vertical="center" wrapText="1"/>
    </xf>
    <xf numFmtId="0" fontId="20" fillId="0" borderId="1" xfId="0" applyFont="1" applyFill="1" applyBorder="1" applyAlignment="1">
      <alignment horizontal="center" wrapText="1"/>
    </xf>
    <xf numFmtId="0" fontId="0" fillId="0" borderId="1" xfId="0" applyFont="1" applyFill="1" applyBorder="1" applyAlignment="1">
      <alignment horizontal="left" wrapText="1"/>
    </xf>
    <xf numFmtId="0" fontId="20" fillId="0" borderId="1" xfId="0" applyFont="1" applyFill="1" applyBorder="1" applyAlignment="1">
      <alignment horizontal="left" wrapText="1"/>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0" fontId="35" fillId="44" borderId="48" xfId="0" applyFont="1" applyFill="1" applyBorder="1" applyAlignment="1">
      <alignment horizontal="center" vertical="center" wrapText="1"/>
    </xf>
    <xf numFmtId="0" fontId="35" fillId="44" borderId="8" xfId="0" applyFont="1" applyFill="1" applyBorder="1" applyAlignment="1">
      <alignment horizontal="center" vertical="center" wrapText="1"/>
    </xf>
    <xf numFmtId="0" fontId="35" fillId="44" borderId="1" xfId="0" applyFont="1" applyFill="1" applyBorder="1" applyAlignment="1">
      <alignment horizontal="center" vertical="center" wrapText="1"/>
    </xf>
    <xf numFmtId="0" fontId="20" fillId="44" borderId="1" xfId="0" applyFont="1" applyFill="1" applyBorder="1" applyAlignment="1">
      <alignment horizontal="center" vertical="center" wrapText="1"/>
    </xf>
    <xf numFmtId="0" fontId="36" fillId="0" borderId="48" xfId="0" applyFont="1" applyBorder="1" applyAlignment="1">
      <alignment horizontal="center" vertical="center" wrapText="1"/>
    </xf>
    <xf numFmtId="0" fontId="36" fillId="0" borderId="8"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0" fillId="0" borderId="48" xfId="0" applyBorder="1" applyAlignment="1">
      <alignment horizontal="center" vertical="center" wrapText="1"/>
    </xf>
    <xf numFmtId="0" fontId="0" fillId="0" borderId="8" xfId="0" applyBorder="1" applyAlignment="1">
      <alignment horizontal="center" vertical="center" wrapText="1"/>
    </xf>
    <xf numFmtId="0" fontId="28" fillId="42" borderId="38" xfId="52" applyFont="1" applyFill="1" applyBorder="1" applyAlignment="1">
      <alignment horizontal="center" vertical="center" wrapText="1"/>
    </xf>
    <xf numFmtId="0" fontId="28" fillId="42" borderId="39" xfId="52" applyFont="1" applyFill="1" applyBorder="1" applyAlignment="1">
      <alignment horizontal="center" vertical="center" wrapText="1"/>
    </xf>
    <xf numFmtId="0" fontId="28" fillId="42" borderId="40" xfId="52" applyFont="1" applyFill="1" applyBorder="1" applyAlignment="1">
      <alignment horizontal="center" vertical="center" wrapText="1"/>
    </xf>
    <xf numFmtId="0" fontId="29" fillId="43" borderId="38" xfId="52" applyFont="1" applyFill="1" applyBorder="1" applyAlignment="1">
      <alignment horizontal="center" vertical="center" wrapText="1"/>
    </xf>
    <xf numFmtId="0" fontId="29" fillId="43" borderId="39" xfId="52" applyFont="1" applyFill="1" applyBorder="1" applyAlignment="1">
      <alignment horizontal="center" vertical="center" wrapText="1"/>
    </xf>
    <xf numFmtId="0" fontId="29" fillId="43" borderId="40" xfId="52" applyFont="1" applyFill="1" applyBorder="1" applyAlignment="1">
      <alignment horizontal="center" vertical="center" wrapText="1"/>
    </xf>
    <xf numFmtId="169" fontId="0" fillId="0" borderId="46" xfId="0" applyNumberFormat="1" applyBorder="1" applyAlignment="1">
      <alignment horizontal="right"/>
    </xf>
    <xf numFmtId="0" fontId="28" fillId="42" borderId="41" xfId="52" applyFont="1" applyFill="1" applyBorder="1" applyAlignment="1">
      <alignment horizontal="center" vertical="center" wrapText="1"/>
    </xf>
    <xf numFmtId="0" fontId="28" fillId="42" borderId="42" xfId="52" applyFont="1" applyFill="1" applyBorder="1" applyAlignment="1">
      <alignment horizontal="center" vertical="center" wrapText="1"/>
    </xf>
    <xf numFmtId="0" fontId="28" fillId="42" borderId="43" xfId="52" applyFont="1" applyFill="1" applyBorder="1" applyAlignment="1">
      <alignment horizontal="center" vertical="center" wrapText="1"/>
    </xf>
    <xf numFmtId="0" fontId="28" fillId="42" borderId="44" xfId="52" applyFont="1" applyFill="1" applyBorder="1" applyAlignment="1">
      <alignment horizontal="center" vertical="center" wrapText="1"/>
    </xf>
    <xf numFmtId="0" fontId="28" fillId="42" borderId="37" xfId="52" applyFont="1" applyFill="1" applyBorder="1" applyAlignment="1">
      <alignment horizontal="center" vertical="center" wrapText="1"/>
    </xf>
    <xf numFmtId="0" fontId="28" fillId="42" borderId="45" xfId="52" applyFont="1" applyFill="1" applyBorder="1" applyAlignment="1">
      <alignment horizontal="center" vertical="center" wrapText="1"/>
    </xf>
    <xf numFmtId="4" fontId="26" fillId="42" borderId="48" xfId="52" applyNumberFormat="1" applyFont="1" applyFill="1" applyBorder="1" applyAlignment="1">
      <alignment horizontal="center" vertical="center" wrapText="1"/>
    </xf>
    <xf numFmtId="4" fontId="26" fillId="42" borderId="8" xfId="52" applyNumberFormat="1" applyFont="1" applyFill="1" applyBorder="1" applyAlignment="1">
      <alignment horizontal="center" vertical="center" wrapText="1"/>
    </xf>
    <xf numFmtId="0" fontId="33" fillId="51" borderId="38" xfId="52" applyFont="1" applyFill="1" applyBorder="1" applyAlignment="1">
      <alignment horizontal="center" vertical="center"/>
    </xf>
    <xf numFmtId="0" fontId="33" fillId="51" borderId="39" xfId="52" applyFont="1" applyFill="1" applyBorder="1" applyAlignment="1">
      <alignment horizontal="center" vertical="center"/>
    </xf>
    <xf numFmtId="0" fontId="33" fillId="51" borderId="40" xfId="52" applyFont="1" applyFill="1" applyBorder="1" applyAlignment="1">
      <alignment horizontal="center" vertical="center"/>
    </xf>
    <xf numFmtId="0" fontId="29" fillId="0" borderId="37" xfId="52" applyFont="1" applyBorder="1" applyAlignment="1">
      <alignment horizontal="center" vertical="center"/>
    </xf>
    <xf numFmtId="3" fontId="28" fillId="42" borderId="48" xfId="52" applyNumberFormat="1" applyFont="1" applyFill="1" applyBorder="1" applyAlignment="1">
      <alignment horizontal="center" vertical="center" wrapText="1"/>
    </xf>
    <xf numFmtId="3" fontId="28" fillId="42" borderId="8" xfId="52" applyNumberFormat="1" applyFont="1" applyFill="1" applyBorder="1" applyAlignment="1">
      <alignment horizontal="center" vertical="center" wrapText="1"/>
    </xf>
    <xf numFmtId="0" fontId="33" fillId="51" borderId="1" xfId="52" applyFont="1" applyFill="1" applyBorder="1" applyAlignment="1">
      <alignment horizontal="center" vertical="center"/>
    </xf>
    <xf numFmtId="0" fontId="20" fillId="0" borderId="0" xfId="0" applyFont="1" applyAlignment="1">
      <alignment horizontal="center"/>
    </xf>
    <xf numFmtId="0" fontId="2" fillId="0" borderId="0" xfId="0" applyFont="1" applyBorder="1" applyAlignment="1">
      <alignment horizontal="center" vertical="center"/>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20" fillId="49" borderId="1" xfId="0" applyFont="1" applyFill="1" applyBorder="1" applyAlignment="1">
      <alignment horizontal="center"/>
    </xf>
    <xf numFmtId="0" fontId="0" fillId="0" borderId="13" xfId="0" applyBorder="1" applyAlignment="1">
      <alignment horizontal="center" vertical="center" wrapText="1"/>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7"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47"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6" xfId="0" applyFont="1" applyFill="1" applyBorder="1" applyAlignment="1">
      <alignment horizontal="center" vertical="center"/>
    </xf>
    <xf numFmtId="0" fontId="0" fillId="0" borderId="40" xfId="0" applyBorder="1" applyAlignment="1">
      <alignment horizontal="center" vertical="center" wrapText="1"/>
    </xf>
  </cellXfs>
  <cellStyles count="54">
    <cellStyle name="20% - Ênfase1" xfId="23" builtinId="30" customBuiltin="1"/>
    <cellStyle name="20% - Ênfase2" xfId="27" builtinId="34" customBuiltin="1"/>
    <cellStyle name="20% - Ênfase3" xfId="31" builtinId="38" customBuiltin="1"/>
    <cellStyle name="20% - Ênfase4" xfId="35" builtinId="42" customBuiltin="1"/>
    <cellStyle name="20% - Ênfase5" xfId="39" builtinId="46" customBuiltin="1"/>
    <cellStyle name="20% - Ênfase6" xfId="43" builtinId="50" customBuiltin="1"/>
    <cellStyle name="40% - Ênfase1" xfId="24" builtinId="31" customBuiltin="1"/>
    <cellStyle name="40% - Ênfase2" xfId="28" builtinId="35" customBuiltin="1"/>
    <cellStyle name="40% - Ênfase3" xfId="32" builtinId="39" customBuiltin="1"/>
    <cellStyle name="40% - Ênfase4" xfId="36" builtinId="43" customBuiltin="1"/>
    <cellStyle name="40% - Ênfase5" xfId="40" builtinId="47" customBuiltin="1"/>
    <cellStyle name="40% - Ênfase6" xfId="44" builtinId="51" customBuiltin="1"/>
    <cellStyle name="60% - Ênfase1" xfId="25" builtinId="32" customBuiltin="1"/>
    <cellStyle name="60% - Ênfase2" xfId="29" builtinId="36" customBuiltin="1"/>
    <cellStyle name="60% - Ênfase3" xfId="33" builtinId="40" customBuiltin="1"/>
    <cellStyle name="60% - Ênfase4" xfId="37" builtinId="44" customBuiltin="1"/>
    <cellStyle name="60% - Ênfase5" xfId="41" builtinId="48" customBuiltin="1"/>
    <cellStyle name="60% - Ênfase6" xfId="45" builtinId="52" customBuiltin="1"/>
    <cellStyle name="Bom" xfId="10" builtinId="26" customBuiltin="1"/>
    <cellStyle name="Cálculo" xfId="15" builtinId="22" customBuiltin="1"/>
    <cellStyle name="Célula de Verificação" xfId="17" builtinId="23" customBuiltin="1"/>
    <cellStyle name="Célula Vinculada" xfId="16" builtinId="24" customBuiltin="1"/>
    <cellStyle name="Ênfase1" xfId="22" builtinId="29" customBuiltin="1"/>
    <cellStyle name="Ênfase2" xfId="26" builtinId="33" customBuiltin="1"/>
    <cellStyle name="Ênfase3" xfId="30" builtinId="37" customBuiltin="1"/>
    <cellStyle name="Ênfase4" xfId="34" builtinId="41" customBuiltin="1"/>
    <cellStyle name="Ênfase5" xfId="38" builtinId="45" customBuiltin="1"/>
    <cellStyle name="Ênfase6" xfId="42" builtinId="49" customBuiltin="1"/>
    <cellStyle name="Entrada" xfId="13" builtinId="20" customBuiltin="1"/>
    <cellStyle name="Incorreto" xfId="11" builtinId="27" customBuiltin="1"/>
    <cellStyle name="Neutra" xfId="12" builtinId="28" customBuiltin="1"/>
    <cellStyle name="Normal" xfId="0" builtinId="0"/>
    <cellStyle name="Normal 2" xfId="47"/>
    <cellStyle name="Normal 3" xfId="52"/>
    <cellStyle name="Nota" xfId="19" builtinId="10" customBuiltin="1"/>
    <cellStyle name="Porcentagem" xfId="1" builtinId="5"/>
    <cellStyle name="Saída" xfId="14" builtinId="21" customBuiltin="1"/>
    <cellStyle name="Texto de Aviso" xfId="18" builtinId="11" customBuiltin="1"/>
    <cellStyle name="Texto Explicativo" xfId="20" builtinId="53" customBuiltin="1"/>
    <cellStyle name="Título" xfId="5" builtinId="15" customBuiltin="1"/>
    <cellStyle name="Título 1" xfId="6" builtinId="16" customBuiltin="1"/>
    <cellStyle name="Título 2" xfId="7" builtinId="17" customBuiltin="1"/>
    <cellStyle name="Título 3" xfId="8" builtinId="18" customBuiltin="1"/>
    <cellStyle name="Título 4" xfId="9" builtinId="19" customBuiltin="1"/>
    <cellStyle name="Total" xfId="21" builtinId="25" customBuiltin="1"/>
    <cellStyle name="Vírgula" xfId="53" builtinId="3"/>
    <cellStyle name="Vírgula 2" xfId="2"/>
    <cellStyle name="Vírgula 3" xfId="4"/>
    <cellStyle name="Vírgula 3 2" xfId="50"/>
    <cellStyle name="Vírgula 4" xfId="3"/>
    <cellStyle name="Vírgula 4 2" xfId="49"/>
    <cellStyle name="Vírgula 5" xfId="46"/>
    <cellStyle name="Vírgula 5 2" xfId="51"/>
    <cellStyle name="Vírgula 6" xfId="48"/>
  </cellStyles>
  <dxfs count="0"/>
  <tableStyles count="0" defaultTableStyle="TableStyleMedium2" defaultPivotStyle="PivotStyleLight16"/>
  <colors>
    <mruColors>
      <color rgb="FF37F8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tabSelected="1" workbookViewId="0">
      <selection activeCell="L5" sqref="L5"/>
    </sheetView>
  </sheetViews>
  <sheetFormatPr defaultRowHeight="15" x14ac:dyDescent="0.25"/>
  <sheetData>
    <row r="1" spans="1:16" ht="36.75" customHeight="1" x14ac:dyDescent="0.25">
      <c r="A1" s="178" t="s">
        <v>611</v>
      </c>
      <c r="B1" s="178"/>
      <c r="C1" s="178"/>
      <c r="D1" s="178"/>
      <c r="E1" s="178"/>
      <c r="F1" s="178"/>
      <c r="G1" s="178"/>
      <c r="H1" s="178"/>
      <c r="I1" s="178"/>
      <c r="J1" s="178"/>
      <c r="K1" s="178"/>
      <c r="L1" s="173"/>
      <c r="M1" s="173"/>
      <c r="N1" s="173"/>
      <c r="O1" s="173"/>
      <c r="P1" s="173"/>
    </row>
    <row r="2" spans="1:16" x14ac:dyDescent="0.25">
      <c r="A2" s="179" t="s">
        <v>625</v>
      </c>
      <c r="B2" s="179"/>
      <c r="C2" s="179"/>
      <c r="D2" s="179"/>
      <c r="E2" s="179"/>
      <c r="F2" s="179"/>
      <c r="G2" s="179"/>
      <c r="H2" s="179"/>
      <c r="I2" s="179"/>
      <c r="J2" s="179"/>
      <c r="K2" s="179"/>
      <c r="L2" s="172"/>
      <c r="M2" s="172"/>
      <c r="N2" s="172"/>
      <c r="O2" s="172"/>
      <c r="P2" s="172"/>
    </row>
    <row r="3" spans="1:16" x14ac:dyDescent="0.25">
      <c r="A3" s="179"/>
      <c r="B3" s="179"/>
      <c r="C3" s="179"/>
      <c r="D3" s="179"/>
      <c r="E3" s="179"/>
      <c r="F3" s="179"/>
      <c r="G3" s="179"/>
      <c r="H3" s="179"/>
      <c r="I3" s="179"/>
      <c r="J3" s="179"/>
      <c r="K3" s="179"/>
      <c r="L3" s="172"/>
      <c r="M3" s="172"/>
      <c r="N3" s="172"/>
      <c r="O3" s="172"/>
      <c r="P3" s="172"/>
    </row>
    <row r="4" spans="1:16" x14ac:dyDescent="0.25">
      <c r="A4" s="179"/>
      <c r="B4" s="179"/>
      <c r="C4" s="179"/>
      <c r="D4" s="179"/>
      <c r="E4" s="179"/>
      <c r="F4" s="179"/>
      <c r="G4" s="179"/>
      <c r="H4" s="179"/>
      <c r="I4" s="179"/>
      <c r="J4" s="179"/>
      <c r="K4" s="179"/>
    </row>
    <row r="5" spans="1:16" x14ac:dyDescent="0.25">
      <c r="A5" s="177" t="s">
        <v>612</v>
      </c>
      <c r="B5" s="177"/>
      <c r="C5" s="177"/>
      <c r="D5" s="177"/>
      <c r="E5" s="177"/>
      <c r="F5" s="177"/>
      <c r="G5" s="177"/>
      <c r="H5" s="177"/>
      <c r="I5" s="177"/>
      <c r="J5" s="177"/>
      <c r="K5" s="177"/>
    </row>
    <row r="6" spans="1:16" x14ac:dyDescent="0.25">
      <c r="A6" s="177" t="s">
        <v>613</v>
      </c>
      <c r="B6" s="177"/>
      <c r="C6" s="177"/>
      <c r="D6" s="177"/>
      <c r="E6" s="177"/>
      <c r="F6" s="177"/>
      <c r="G6" s="177"/>
      <c r="H6" s="177"/>
      <c r="I6" s="177"/>
      <c r="J6" s="177"/>
      <c r="K6" s="177"/>
    </row>
    <row r="7" spans="1:16" x14ac:dyDescent="0.25">
      <c r="A7" s="177" t="s">
        <v>614</v>
      </c>
      <c r="B7" s="177"/>
      <c r="C7" s="177"/>
      <c r="D7" s="177"/>
      <c r="E7" s="177"/>
      <c r="F7" s="177"/>
      <c r="G7" s="177"/>
      <c r="H7" s="177"/>
      <c r="I7" s="177"/>
      <c r="J7" s="177"/>
      <c r="K7" s="177"/>
    </row>
    <row r="8" spans="1:16" x14ac:dyDescent="0.25">
      <c r="A8" s="177" t="s">
        <v>615</v>
      </c>
      <c r="B8" s="177"/>
      <c r="C8" s="177"/>
      <c r="D8" s="177"/>
      <c r="E8" s="177"/>
      <c r="F8" s="177"/>
      <c r="G8" s="177"/>
      <c r="H8" s="177"/>
      <c r="I8" s="177"/>
      <c r="J8" s="177"/>
      <c r="K8" s="177"/>
    </row>
    <row r="9" spans="1:16" x14ac:dyDescent="0.25">
      <c r="A9" s="177" t="s">
        <v>616</v>
      </c>
      <c r="B9" s="177"/>
      <c r="C9" s="177"/>
      <c r="D9" s="177"/>
      <c r="E9" s="177"/>
      <c r="F9" s="177"/>
      <c r="G9" s="177"/>
      <c r="H9" s="177"/>
      <c r="I9" s="177"/>
      <c r="J9" s="177"/>
      <c r="K9" s="177"/>
    </row>
    <row r="10" spans="1:16" x14ac:dyDescent="0.25">
      <c r="A10" s="177" t="s">
        <v>617</v>
      </c>
      <c r="B10" s="177"/>
      <c r="C10" s="177"/>
      <c r="D10" s="177"/>
      <c r="E10" s="177"/>
      <c r="F10" s="177"/>
      <c r="G10" s="177"/>
      <c r="H10" s="177"/>
      <c r="I10" s="177"/>
      <c r="J10" s="177"/>
      <c r="K10" s="177"/>
    </row>
    <row r="11" spans="1:16" x14ac:dyDescent="0.25">
      <c r="A11" s="177" t="s">
        <v>637</v>
      </c>
      <c r="B11" s="177"/>
      <c r="C11" s="177"/>
      <c r="D11" s="177"/>
      <c r="E11" s="177"/>
      <c r="F11" s="177"/>
      <c r="G11" s="177"/>
      <c r="H11" s="177"/>
      <c r="I11" s="177"/>
      <c r="J11" s="177"/>
      <c r="K11" s="177"/>
    </row>
    <row r="12" spans="1:16" x14ac:dyDescent="0.25">
      <c r="A12" s="177" t="s">
        <v>638</v>
      </c>
      <c r="B12" s="177"/>
      <c r="C12" s="177"/>
      <c r="D12" s="177"/>
      <c r="E12" s="177"/>
      <c r="F12" s="177"/>
      <c r="G12" s="177"/>
      <c r="H12" s="177"/>
      <c r="I12" s="177"/>
      <c r="J12" s="177"/>
      <c r="K12" s="177"/>
    </row>
    <row r="13" spans="1:16" x14ac:dyDescent="0.25">
      <c r="A13" s="177" t="s">
        <v>618</v>
      </c>
      <c r="B13" s="177"/>
      <c r="C13" s="177"/>
      <c r="D13" s="177"/>
      <c r="E13" s="177"/>
      <c r="F13" s="177"/>
      <c r="G13" s="177"/>
      <c r="H13" s="177"/>
      <c r="I13" s="177"/>
      <c r="J13" s="177"/>
      <c r="K13" s="177"/>
    </row>
    <row r="14" spans="1:16" x14ac:dyDescent="0.25">
      <c r="A14" s="177" t="s">
        <v>619</v>
      </c>
      <c r="B14" s="177"/>
      <c r="C14" s="177"/>
      <c r="D14" s="177"/>
      <c r="E14" s="177"/>
      <c r="F14" s="177"/>
      <c r="G14" s="177"/>
      <c r="H14" s="177"/>
      <c r="I14" s="177"/>
      <c r="J14" s="177"/>
      <c r="K14" s="177"/>
    </row>
    <row r="15" spans="1:16" x14ac:dyDescent="0.25">
      <c r="A15" s="177" t="s">
        <v>620</v>
      </c>
      <c r="B15" s="177"/>
      <c r="C15" s="177"/>
      <c r="D15" s="177"/>
      <c r="E15" s="177"/>
      <c r="F15" s="177"/>
      <c r="G15" s="177"/>
      <c r="H15" s="177"/>
      <c r="I15" s="177"/>
      <c r="J15" s="177"/>
      <c r="K15" s="177"/>
    </row>
    <row r="16" spans="1:16" x14ac:dyDescent="0.25">
      <c r="A16" s="177" t="s">
        <v>621</v>
      </c>
      <c r="B16" s="177"/>
      <c r="C16" s="177"/>
      <c r="D16" s="177"/>
      <c r="E16" s="177"/>
      <c r="F16" s="177"/>
      <c r="G16" s="177"/>
      <c r="H16" s="177"/>
      <c r="I16" s="177"/>
      <c r="J16" s="177"/>
      <c r="K16" s="177"/>
    </row>
    <row r="17" spans="1:11" x14ac:dyDescent="0.25">
      <c r="A17" s="177" t="s">
        <v>622</v>
      </c>
      <c r="B17" s="177"/>
      <c r="C17" s="177"/>
      <c r="D17" s="177"/>
      <c r="E17" s="177"/>
      <c r="F17" s="177"/>
      <c r="G17" s="177"/>
      <c r="H17" s="177"/>
      <c r="I17" s="177"/>
      <c r="J17" s="177"/>
      <c r="K17" s="177"/>
    </row>
    <row r="18" spans="1:11" x14ac:dyDescent="0.25">
      <c r="A18" s="177" t="s">
        <v>623</v>
      </c>
      <c r="B18" s="177"/>
      <c r="C18" s="177"/>
      <c r="D18" s="177"/>
      <c r="E18" s="177"/>
      <c r="F18" s="177"/>
      <c r="G18" s="177"/>
      <c r="H18" s="177"/>
      <c r="I18" s="177"/>
      <c r="J18" s="177"/>
      <c r="K18" s="177"/>
    </row>
    <row r="19" spans="1:11" x14ac:dyDescent="0.25">
      <c r="A19" s="177" t="s">
        <v>624</v>
      </c>
      <c r="B19" s="177"/>
      <c r="C19" s="177"/>
      <c r="D19" s="177"/>
      <c r="E19" s="177"/>
      <c r="F19" s="177"/>
      <c r="G19" s="177"/>
      <c r="H19" s="177"/>
      <c r="I19" s="177"/>
      <c r="J19" s="177"/>
      <c r="K19" s="177"/>
    </row>
    <row r="20" spans="1:11" x14ac:dyDescent="0.25">
      <c r="A20" s="177"/>
      <c r="B20" s="177"/>
      <c r="C20" s="177"/>
      <c r="D20" s="177"/>
      <c r="E20" s="177"/>
      <c r="F20" s="177"/>
      <c r="G20" s="177"/>
      <c r="H20" s="177"/>
      <c r="I20" s="177"/>
      <c r="J20" s="177"/>
      <c r="K20" s="177"/>
    </row>
    <row r="21" spans="1:11" x14ac:dyDescent="0.25">
      <c r="A21" s="182" t="s">
        <v>627</v>
      </c>
      <c r="B21" s="177"/>
      <c r="C21" s="177"/>
      <c r="D21" s="177"/>
      <c r="E21" s="177"/>
      <c r="F21" s="177"/>
      <c r="G21" s="177"/>
      <c r="H21" s="177"/>
      <c r="I21" s="177"/>
      <c r="J21" s="177"/>
      <c r="K21" s="177"/>
    </row>
    <row r="22" spans="1:11" ht="33.75" customHeight="1" x14ac:dyDescent="0.25">
      <c r="A22" s="180" t="s">
        <v>626</v>
      </c>
      <c r="B22" s="180"/>
      <c r="C22" s="180"/>
      <c r="D22" s="180"/>
      <c r="E22" s="180"/>
      <c r="F22" s="180"/>
      <c r="G22" s="180"/>
      <c r="H22" s="180"/>
      <c r="I22" s="180"/>
      <c r="J22" s="180"/>
      <c r="K22" s="181"/>
    </row>
    <row r="23" spans="1:11" ht="32.25" customHeight="1" x14ac:dyDescent="0.25">
      <c r="A23" s="180"/>
      <c r="B23" s="180"/>
      <c r="C23" s="180"/>
      <c r="D23" s="180"/>
      <c r="E23" s="180"/>
      <c r="F23" s="180"/>
      <c r="G23" s="180"/>
      <c r="H23" s="180"/>
      <c r="I23" s="180"/>
      <c r="J23" s="180"/>
      <c r="K23" s="181"/>
    </row>
  </sheetData>
  <mergeCells count="21">
    <mergeCell ref="A15:K15"/>
    <mergeCell ref="A16:K16"/>
    <mergeCell ref="A17:K17"/>
    <mergeCell ref="A18:K18"/>
    <mergeCell ref="A19:K19"/>
    <mergeCell ref="A13:K13"/>
    <mergeCell ref="A1:K1"/>
    <mergeCell ref="A2:K4"/>
    <mergeCell ref="A22:J23"/>
    <mergeCell ref="K22:K23"/>
    <mergeCell ref="A21:K21"/>
    <mergeCell ref="A5:K5"/>
    <mergeCell ref="A6:K6"/>
    <mergeCell ref="A7:K7"/>
    <mergeCell ref="A8:K8"/>
    <mergeCell ref="A9:K9"/>
    <mergeCell ref="A10:K10"/>
    <mergeCell ref="A11:K11"/>
    <mergeCell ref="A12:K12"/>
    <mergeCell ref="A20:K20"/>
    <mergeCell ref="A14:K14"/>
  </mergeCells>
  <pageMargins left="0.511811024" right="0.511811024" top="0.78740157499999996" bottom="0.78740157499999996" header="0.31496062000000002" footer="0.31496062000000002"/>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8"/>
  <sheetViews>
    <sheetView workbookViewId="0">
      <selection activeCell="B15" sqref="B15"/>
    </sheetView>
  </sheetViews>
  <sheetFormatPr defaultRowHeight="15" x14ac:dyDescent="0.25"/>
  <cols>
    <col min="1" max="1" width="55.42578125" customWidth="1"/>
    <col min="2" max="2" width="14.28515625" customWidth="1"/>
    <col min="3" max="3" width="16.5703125" customWidth="1"/>
    <col min="4" max="4" width="12.7109375" customWidth="1"/>
    <col min="5" max="5" width="18.42578125" customWidth="1"/>
  </cols>
  <sheetData>
    <row r="2" spans="1:3" x14ac:dyDescent="0.25">
      <c r="A2" s="210" t="s">
        <v>171</v>
      </c>
      <c r="B2" s="210"/>
      <c r="C2" s="210"/>
    </row>
    <row r="3" spans="1:3" s="83" customFormat="1" x14ac:dyDescent="0.25">
      <c r="A3" s="211" t="s">
        <v>172</v>
      </c>
      <c r="B3" s="211"/>
      <c r="C3" s="154" t="s">
        <v>328</v>
      </c>
    </row>
    <row r="4" spans="1:3" s="83" customFormat="1" ht="15.75" x14ac:dyDescent="0.25">
      <c r="A4" s="212" t="s">
        <v>335</v>
      </c>
      <c r="B4" s="213"/>
      <c r="C4" s="146">
        <v>4121.46</v>
      </c>
    </row>
    <row r="5" spans="1:3" s="83" customFormat="1" ht="22.5" customHeight="1" x14ac:dyDescent="0.25">
      <c r="A5" s="212" t="s">
        <v>336</v>
      </c>
      <c r="B5" s="212"/>
      <c r="C5" s="146">
        <v>975.87</v>
      </c>
    </row>
    <row r="6" spans="1:3" s="83" customFormat="1" ht="33.75" customHeight="1" x14ac:dyDescent="0.25">
      <c r="A6" s="212" t="s">
        <v>337</v>
      </c>
      <c r="B6" s="212"/>
      <c r="C6" s="146">
        <v>1948.7</v>
      </c>
    </row>
    <row r="7" spans="1:3" s="83" customFormat="1" ht="15.75" x14ac:dyDescent="0.25">
      <c r="A7" s="212" t="s">
        <v>610</v>
      </c>
      <c r="B7" s="212"/>
      <c r="C7" s="146">
        <v>1866.6</v>
      </c>
    </row>
    <row r="8" spans="1:3" ht="22.5" customHeight="1" x14ac:dyDescent="0.25">
      <c r="A8" s="214" t="s">
        <v>338</v>
      </c>
      <c r="B8" s="214"/>
      <c r="C8" s="143">
        <f>SUM(C4:C7)</f>
        <v>8912.6299999999992</v>
      </c>
    </row>
    <row r="9" spans="1:3" ht="38.25" customHeight="1" x14ac:dyDescent="0.25">
      <c r="A9" s="142" t="s">
        <v>298</v>
      </c>
      <c r="B9" s="131">
        <v>9.0999999999999998E-2</v>
      </c>
      <c r="C9" s="144">
        <f>B9*C8</f>
        <v>811.04932999999994</v>
      </c>
    </row>
    <row r="10" spans="1:3" ht="24" customHeight="1" x14ac:dyDescent="0.25">
      <c r="A10" s="142" t="s">
        <v>314</v>
      </c>
      <c r="B10" s="131">
        <v>5.8999999999999997E-2</v>
      </c>
      <c r="C10" s="144">
        <f>B10*C8</f>
        <v>525.84516999999994</v>
      </c>
    </row>
    <row r="11" spans="1:3" ht="15.75" x14ac:dyDescent="0.25">
      <c r="A11" s="142" t="s">
        <v>300</v>
      </c>
      <c r="B11" s="132">
        <f>SUM(B12:B15)</f>
        <v>0.1225</v>
      </c>
      <c r="C11" s="144">
        <f>((C$8+C$9+C$10)/(1-($B$11)))*$B11</f>
        <v>1430.8453005698007</v>
      </c>
    </row>
    <row r="12" spans="1:3" ht="15.75" x14ac:dyDescent="0.25">
      <c r="A12" s="123" t="s">
        <v>329</v>
      </c>
      <c r="B12" s="174">
        <v>9.2499999999999999E-2</v>
      </c>
      <c r="C12" s="139">
        <f>((C$8+C$9+C$10)/(1-($B$11)))*$B12</f>
        <v>1080.4342065527067</v>
      </c>
    </row>
    <row r="13" spans="1:3" ht="15.75" x14ac:dyDescent="0.25">
      <c r="A13" s="123" t="s">
        <v>330</v>
      </c>
      <c r="B13" s="122">
        <v>0</v>
      </c>
      <c r="C13" s="139">
        <f>((C$8+C$9+C$10)/(1-($B$11)))*$B13</f>
        <v>0</v>
      </c>
    </row>
    <row r="14" spans="1:3" ht="15.75" x14ac:dyDescent="0.25">
      <c r="A14" s="123" t="s">
        <v>331</v>
      </c>
      <c r="B14" s="174">
        <v>0.03</v>
      </c>
      <c r="C14" s="139">
        <f>((C$8+C$9+C$10)/(1-($B$11)))*$B14</f>
        <v>350.411094017094</v>
      </c>
    </row>
    <row r="15" spans="1:3" ht="15.75" x14ac:dyDescent="0.25">
      <c r="A15" s="123" t="s">
        <v>332</v>
      </c>
      <c r="B15" s="122">
        <v>0</v>
      </c>
      <c r="C15" s="139">
        <f>((C$8+C$9+C$10)/(1-($B$11)))*$B15</f>
        <v>0</v>
      </c>
    </row>
    <row r="16" spans="1:3" ht="15.75" x14ac:dyDescent="0.25">
      <c r="A16" s="215" t="s">
        <v>333</v>
      </c>
      <c r="B16" s="215"/>
      <c r="C16" s="155">
        <f>C8+C9+C10+C11</f>
        <v>11680.369800569801</v>
      </c>
    </row>
    <row r="17" spans="1:3" ht="15.75" x14ac:dyDescent="0.25">
      <c r="A17" s="215" t="s">
        <v>334</v>
      </c>
      <c r="B17" s="215"/>
      <c r="C17" s="155">
        <f>C16*12</f>
        <v>140164.4376068376</v>
      </c>
    </row>
    <row r="18" spans="1:3" ht="15.75" x14ac:dyDescent="0.25">
      <c r="A18" s="215" t="s">
        <v>339</v>
      </c>
      <c r="B18" s="215"/>
      <c r="C18" s="155">
        <f>C16*24</f>
        <v>280328.8752136752</v>
      </c>
    </row>
  </sheetData>
  <mergeCells count="10">
    <mergeCell ref="A8:B8"/>
    <mergeCell ref="A16:B16"/>
    <mergeCell ref="A17:B17"/>
    <mergeCell ref="A6:B6"/>
    <mergeCell ref="A18:B18"/>
    <mergeCell ref="A2:C2"/>
    <mergeCell ref="A3:B3"/>
    <mergeCell ref="A4:B4"/>
    <mergeCell ref="A5:B5"/>
    <mergeCell ref="A7:B7"/>
  </mergeCells>
  <pageMargins left="0.511811024" right="0.511811024" top="0.78740157499999996" bottom="0.78740157499999996" header="0.31496062000000002" footer="0.31496062000000002"/>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topLeftCell="A45" workbookViewId="0">
      <selection activeCell="B47" sqref="B47"/>
    </sheetView>
  </sheetViews>
  <sheetFormatPr defaultRowHeight="15" x14ac:dyDescent="0.25"/>
  <cols>
    <col min="1" max="1" width="62.5703125" customWidth="1"/>
    <col min="2" max="2" width="14.85546875" customWidth="1"/>
    <col min="3" max="3" width="12.42578125" customWidth="1"/>
    <col min="4" max="4" width="15.42578125" customWidth="1"/>
    <col min="5" max="5" width="15.85546875" customWidth="1"/>
    <col min="6" max="6" width="15.42578125" customWidth="1"/>
    <col min="7" max="7" width="14" customWidth="1"/>
  </cols>
  <sheetData>
    <row r="1" spans="1:4" ht="18.75" x14ac:dyDescent="0.25">
      <c r="A1" s="217" t="s">
        <v>289</v>
      </c>
      <c r="B1" s="218"/>
      <c r="C1" s="218"/>
      <c r="D1" s="218"/>
    </row>
    <row r="2" spans="1:4" ht="31.5" x14ac:dyDescent="0.25">
      <c r="A2" s="124" t="s">
        <v>142</v>
      </c>
      <c r="B2" s="125" t="s">
        <v>143</v>
      </c>
      <c r="C2" s="216" t="s">
        <v>144</v>
      </c>
      <c r="D2" s="216"/>
    </row>
    <row r="3" spans="1:4" ht="36" customHeight="1" x14ac:dyDescent="0.25">
      <c r="A3" s="238" t="s">
        <v>305</v>
      </c>
      <c r="B3" s="239"/>
      <c r="C3" s="225" t="s">
        <v>290</v>
      </c>
      <c r="D3" s="226"/>
    </row>
    <row r="4" spans="1:4" ht="28.5" customHeight="1" x14ac:dyDescent="0.25">
      <c r="A4" s="221" t="s">
        <v>284</v>
      </c>
      <c r="B4" s="222"/>
      <c r="C4" s="236">
        <v>23.87</v>
      </c>
      <c r="D4" s="237"/>
    </row>
    <row r="5" spans="1:4" ht="15.75" x14ac:dyDescent="0.25">
      <c r="A5" s="129" t="s">
        <v>298</v>
      </c>
      <c r="B5" s="131">
        <v>9.0999999999999998E-2</v>
      </c>
      <c r="C5" s="223">
        <f>B5*C4</f>
        <v>2.1721699999999999</v>
      </c>
      <c r="D5" s="223"/>
    </row>
    <row r="6" spans="1:4" ht="15.75" x14ac:dyDescent="0.25">
      <c r="A6" s="129" t="s">
        <v>299</v>
      </c>
      <c r="B6" s="131">
        <v>5.8999999999999997E-2</v>
      </c>
      <c r="C6" s="223">
        <f>B6*C4</f>
        <v>1.4083300000000001</v>
      </c>
      <c r="D6" s="223"/>
    </row>
    <row r="7" spans="1:4" ht="15.75" x14ac:dyDescent="0.25">
      <c r="A7" s="121" t="s">
        <v>300</v>
      </c>
      <c r="B7" s="122">
        <f>SUM(B8:B11)</f>
        <v>0.1225</v>
      </c>
      <c r="C7" s="224">
        <f>((C4+C$5+C$6)/(1-($B$7)))*$B7</f>
        <v>3.8321210826210832</v>
      </c>
      <c r="D7" s="224"/>
    </row>
    <row r="8" spans="1:4" ht="15.75" x14ac:dyDescent="0.25">
      <c r="A8" s="123" t="s">
        <v>301</v>
      </c>
      <c r="B8" s="174">
        <v>9.2499999999999999E-2</v>
      </c>
      <c r="C8" s="224">
        <f>((C4+C$5+C$6)/(1-($B$7)))*$B8</f>
        <v>2.8936424501424507</v>
      </c>
      <c r="D8" s="224"/>
    </row>
    <row r="9" spans="1:4" ht="15.75" x14ac:dyDescent="0.25">
      <c r="A9" s="123" t="s">
        <v>302</v>
      </c>
      <c r="B9" s="122">
        <v>0</v>
      </c>
      <c r="C9" s="224">
        <f>((C4+C$5+C$6)/(1-($B$7)))*$B9</f>
        <v>0</v>
      </c>
      <c r="D9" s="224"/>
    </row>
    <row r="10" spans="1:4" ht="15.75" x14ac:dyDescent="0.25">
      <c r="A10" s="123" t="s">
        <v>303</v>
      </c>
      <c r="B10" s="174">
        <v>0.03</v>
      </c>
      <c r="C10" s="224">
        <f>((C4+C$5+C$6)/(1-($B$7)))*$B10</f>
        <v>0.93847863247863261</v>
      </c>
      <c r="D10" s="224"/>
    </row>
    <row r="11" spans="1:4" ht="15.75" x14ac:dyDescent="0.25">
      <c r="A11" s="123" t="s">
        <v>304</v>
      </c>
      <c r="B11" s="122">
        <v>0</v>
      </c>
      <c r="C11" s="224">
        <f>((C4+C$5+C$6)/(1-($B$7)))*$B11</f>
        <v>0</v>
      </c>
      <c r="D11" s="224"/>
    </row>
    <row r="12" spans="1:4" ht="15.75" x14ac:dyDescent="0.25">
      <c r="A12" s="220" t="s">
        <v>294</v>
      </c>
      <c r="B12" s="220"/>
      <c r="C12" s="231">
        <f>C4+C7+C5+C6</f>
        <v>31.282621082621084</v>
      </c>
      <c r="D12" s="231"/>
    </row>
    <row r="14" spans="1:4" ht="31.5" x14ac:dyDescent="0.25">
      <c r="A14" s="124" t="s">
        <v>142</v>
      </c>
      <c r="B14" s="125" t="s">
        <v>143</v>
      </c>
      <c r="C14" s="216" t="s">
        <v>144</v>
      </c>
      <c r="D14" s="216"/>
    </row>
    <row r="15" spans="1:4" ht="26.25" customHeight="1" x14ac:dyDescent="0.25">
      <c r="A15" s="238" t="s">
        <v>305</v>
      </c>
      <c r="B15" s="239"/>
      <c r="C15" s="225" t="s">
        <v>290</v>
      </c>
      <c r="D15" s="226"/>
    </row>
    <row r="16" spans="1:4" ht="15.75" x14ac:dyDescent="0.25">
      <c r="A16" s="221" t="s">
        <v>285</v>
      </c>
      <c r="B16" s="222"/>
      <c r="C16" s="236">
        <v>20.68</v>
      </c>
      <c r="D16" s="237"/>
    </row>
    <row r="17" spans="1:4" ht="15.75" x14ac:dyDescent="0.25">
      <c r="A17" s="129" t="s">
        <v>298</v>
      </c>
      <c r="B17" s="131">
        <v>9.0999999999999998E-2</v>
      </c>
      <c r="C17" s="223">
        <f>B17*C16</f>
        <v>1.88188</v>
      </c>
      <c r="D17" s="223"/>
    </row>
    <row r="18" spans="1:4" ht="15.75" x14ac:dyDescent="0.25">
      <c r="A18" s="129" t="s">
        <v>299</v>
      </c>
      <c r="B18" s="131">
        <v>5.8999999999999997E-2</v>
      </c>
      <c r="C18" s="223">
        <f>B18*C16</f>
        <v>1.2201199999999999</v>
      </c>
      <c r="D18" s="223"/>
    </row>
    <row r="19" spans="1:4" ht="15.75" x14ac:dyDescent="0.25">
      <c r="A19" s="129" t="s">
        <v>300</v>
      </c>
      <c r="B19" s="132">
        <f>SUM(B20:B23)</f>
        <v>0.1225</v>
      </c>
      <c r="C19" s="219">
        <f>((C16+C$5+C$6)/(1-($B$7)))*$B19</f>
        <v>3.3867934472934476</v>
      </c>
      <c r="D19" s="219"/>
    </row>
    <row r="20" spans="1:4" ht="15.75" x14ac:dyDescent="0.25">
      <c r="A20" s="130" t="s">
        <v>301</v>
      </c>
      <c r="B20" s="175">
        <v>9.2499999999999999E-2</v>
      </c>
      <c r="C20" s="219">
        <f>((C16+C$5+C$6)/(1-($B$7)))*$B20</f>
        <v>2.5573746438746441</v>
      </c>
      <c r="D20" s="219"/>
    </row>
    <row r="21" spans="1:4" ht="15.75" x14ac:dyDescent="0.25">
      <c r="A21" s="130" t="s">
        <v>302</v>
      </c>
      <c r="B21" s="132">
        <v>0</v>
      </c>
      <c r="C21" s="219">
        <f>((C16+C$5+C$6)/(1-($B$7)))*$B21</f>
        <v>0</v>
      </c>
      <c r="D21" s="219"/>
    </row>
    <row r="22" spans="1:4" ht="15.75" x14ac:dyDescent="0.25">
      <c r="A22" s="123" t="s">
        <v>303</v>
      </c>
      <c r="B22" s="174">
        <v>0.03</v>
      </c>
      <c r="C22" s="224">
        <f>((C16+C$5+C$6)/(1-($B$7)))*$B22</f>
        <v>0.82941880341880347</v>
      </c>
      <c r="D22" s="224"/>
    </row>
    <row r="23" spans="1:4" ht="15.75" x14ac:dyDescent="0.25">
      <c r="A23" s="123" t="s">
        <v>304</v>
      </c>
      <c r="B23" s="122">
        <v>0</v>
      </c>
      <c r="C23" s="224">
        <f>((C16+C$5+C$6)/(1-($B$7)))*$B23</f>
        <v>0</v>
      </c>
      <c r="D23" s="224"/>
    </row>
    <row r="24" spans="1:4" ht="15.75" x14ac:dyDescent="0.25">
      <c r="A24" s="220" t="s">
        <v>295</v>
      </c>
      <c r="B24" s="220"/>
      <c r="C24" s="231">
        <f>C16+C19+C17+C18</f>
        <v>27.168793447293449</v>
      </c>
      <c r="D24" s="231"/>
    </row>
    <row r="26" spans="1:4" ht="31.5" x14ac:dyDescent="0.25">
      <c r="A26" s="124" t="s">
        <v>142</v>
      </c>
      <c r="B26" s="125" t="s">
        <v>143</v>
      </c>
      <c r="C26" s="216" t="s">
        <v>144</v>
      </c>
      <c r="D26" s="216"/>
    </row>
    <row r="27" spans="1:4" ht="45" customHeight="1" x14ac:dyDescent="0.25">
      <c r="A27" s="238" t="s">
        <v>305</v>
      </c>
      <c r="B27" s="239"/>
      <c r="C27" s="225" t="s">
        <v>290</v>
      </c>
      <c r="D27" s="226"/>
    </row>
    <row r="28" spans="1:4" ht="42.75" customHeight="1" x14ac:dyDescent="0.25">
      <c r="A28" s="221" t="s">
        <v>286</v>
      </c>
      <c r="B28" s="222"/>
      <c r="C28" s="236">
        <v>24.48</v>
      </c>
      <c r="D28" s="237"/>
    </row>
    <row r="29" spans="1:4" ht="15.75" x14ac:dyDescent="0.25">
      <c r="A29" s="129" t="s">
        <v>298</v>
      </c>
      <c r="B29" s="131">
        <v>9.0999999999999998E-2</v>
      </c>
      <c r="C29" s="223">
        <f>B29*C28</f>
        <v>2.2276799999999999</v>
      </c>
      <c r="D29" s="223"/>
    </row>
    <row r="30" spans="1:4" ht="15.75" x14ac:dyDescent="0.25">
      <c r="A30" s="129" t="s">
        <v>299</v>
      </c>
      <c r="B30" s="131">
        <v>5.8999999999999997E-2</v>
      </c>
      <c r="C30" s="223">
        <f>B30*C28</f>
        <v>1.44432</v>
      </c>
      <c r="D30" s="223"/>
    </row>
    <row r="31" spans="1:4" ht="15.75" x14ac:dyDescent="0.25">
      <c r="A31" s="129" t="s">
        <v>300</v>
      </c>
      <c r="B31" s="132">
        <f>SUM(B32:B35)</f>
        <v>0.1225</v>
      </c>
      <c r="C31" s="219">
        <f>((C28+C$5+C$6)/(1-($B$7)))*$B31</f>
        <v>3.9172777777777781</v>
      </c>
      <c r="D31" s="219"/>
    </row>
    <row r="32" spans="1:4" ht="15.75" x14ac:dyDescent="0.25">
      <c r="A32" s="123" t="s">
        <v>301</v>
      </c>
      <c r="B32" s="174">
        <v>9.2499999999999999E-2</v>
      </c>
      <c r="C32" s="224">
        <f>((C28+C$5+C$6)/(1-($B$7)))*$B32</f>
        <v>2.9579444444444447</v>
      </c>
      <c r="D32" s="224"/>
    </row>
    <row r="33" spans="1:4" ht="15.75" x14ac:dyDescent="0.25">
      <c r="A33" s="123" t="s">
        <v>302</v>
      </c>
      <c r="B33" s="122">
        <v>0</v>
      </c>
      <c r="C33" s="224">
        <f>((C28+C$5+C$6)/(1-($B$7)))*$B33</f>
        <v>0</v>
      </c>
      <c r="D33" s="224"/>
    </row>
    <row r="34" spans="1:4" ht="15.75" x14ac:dyDescent="0.25">
      <c r="A34" s="123" t="s">
        <v>303</v>
      </c>
      <c r="B34" s="174">
        <v>0.03</v>
      </c>
      <c r="C34" s="224">
        <f>((C28+C$5+C$6)/(1-($B$7)))*$B34</f>
        <v>0.95933333333333337</v>
      </c>
      <c r="D34" s="224"/>
    </row>
    <row r="35" spans="1:4" ht="15.75" x14ac:dyDescent="0.25">
      <c r="A35" s="123" t="s">
        <v>304</v>
      </c>
      <c r="B35" s="122">
        <v>0</v>
      </c>
      <c r="C35" s="224">
        <f>((C28+C$5+C$6)/(1-($B$7)))*$B35</f>
        <v>0</v>
      </c>
      <c r="D35" s="224"/>
    </row>
    <row r="36" spans="1:4" ht="15.75" x14ac:dyDescent="0.25">
      <c r="A36" s="220" t="s">
        <v>296</v>
      </c>
      <c r="B36" s="220"/>
      <c r="C36" s="231">
        <f>C28+C31+C29+C30</f>
        <v>32.069277777777778</v>
      </c>
      <c r="D36" s="231"/>
    </row>
    <row r="38" spans="1:4" ht="31.5" x14ac:dyDescent="0.25">
      <c r="A38" s="124" t="s">
        <v>142</v>
      </c>
      <c r="B38" s="125" t="s">
        <v>143</v>
      </c>
      <c r="C38" s="216" t="s">
        <v>144</v>
      </c>
      <c r="D38" s="216"/>
    </row>
    <row r="39" spans="1:4" ht="37.5" customHeight="1" x14ac:dyDescent="0.25">
      <c r="A39" s="238" t="s">
        <v>305</v>
      </c>
      <c r="B39" s="239"/>
      <c r="C39" s="225" t="s">
        <v>290</v>
      </c>
      <c r="D39" s="226"/>
    </row>
    <row r="40" spans="1:4" ht="28.5" customHeight="1" x14ac:dyDescent="0.25">
      <c r="A40" s="232" t="s">
        <v>287</v>
      </c>
      <c r="B40" s="233"/>
      <c r="C40" s="234">
        <v>28.17</v>
      </c>
      <c r="D40" s="235"/>
    </row>
    <row r="41" spans="1:4" ht="15.75" x14ac:dyDescent="0.25">
      <c r="A41" s="129" t="s">
        <v>298</v>
      </c>
      <c r="B41" s="131">
        <v>9.0999999999999998E-2</v>
      </c>
      <c r="C41" s="223">
        <f>B41*C40</f>
        <v>2.5634700000000001</v>
      </c>
      <c r="D41" s="223"/>
    </row>
    <row r="42" spans="1:4" ht="15.75" x14ac:dyDescent="0.25">
      <c r="A42" s="129" t="s">
        <v>299</v>
      </c>
      <c r="B42" s="131">
        <v>5.8999999999999997E-2</v>
      </c>
      <c r="C42" s="223">
        <f>B42*C40</f>
        <v>1.6620300000000001</v>
      </c>
      <c r="D42" s="223"/>
    </row>
    <row r="43" spans="1:4" ht="15.75" x14ac:dyDescent="0.25">
      <c r="A43" s="129" t="s">
        <v>300</v>
      </c>
      <c r="B43" s="122">
        <f>SUM(B44:B47)</f>
        <v>0.1225</v>
      </c>
      <c r="C43" s="219">
        <f>((C40+C$5+C$6)/(1-($B$7)))*$B43</f>
        <v>4.4324059829059834</v>
      </c>
      <c r="D43" s="219"/>
    </row>
    <row r="44" spans="1:4" ht="15.75" x14ac:dyDescent="0.25">
      <c r="A44" s="130" t="s">
        <v>301</v>
      </c>
      <c r="B44" s="174">
        <v>9.2499999999999999E-2</v>
      </c>
      <c r="C44" s="219">
        <f>((C40+C$5+C$6)/(1-($B$7)))*$B44</f>
        <v>3.3469188034188035</v>
      </c>
      <c r="D44" s="219"/>
    </row>
    <row r="45" spans="1:4" ht="15.75" x14ac:dyDescent="0.25">
      <c r="A45" s="130" t="s">
        <v>302</v>
      </c>
      <c r="B45" s="122">
        <v>0</v>
      </c>
      <c r="C45" s="219">
        <f>((C40+C$5+C$6)/(1-($B$7)))*$B45</f>
        <v>0</v>
      </c>
      <c r="D45" s="219"/>
    </row>
    <row r="46" spans="1:4" ht="15.75" x14ac:dyDescent="0.25">
      <c r="A46" s="130" t="s">
        <v>303</v>
      </c>
      <c r="B46" s="174">
        <v>0.03</v>
      </c>
      <c r="C46" s="219">
        <f>((C40+C$5+C$6)/(1-($B$7)))*$B46</f>
        <v>1.0854871794871794</v>
      </c>
      <c r="D46" s="219"/>
    </row>
    <row r="47" spans="1:4" ht="15.75" x14ac:dyDescent="0.25">
      <c r="A47" s="130" t="s">
        <v>304</v>
      </c>
      <c r="B47" s="122">
        <v>0</v>
      </c>
      <c r="C47" s="219">
        <f>((C40+C$5+C$6)/(1-($B$7)))*$B47</f>
        <v>0</v>
      </c>
      <c r="D47" s="219"/>
    </row>
    <row r="48" spans="1:4" ht="15.75" x14ac:dyDescent="0.25">
      <c r="A48" s="220" t="s">
        <v>297</v>
      </c>
      <c r="B48" s="220"/>
      <c r="C48" s="231">
        <f>C40+C43+C41+C42</f>
        <v>36.827905982905989</v>
      </c>
      <c r="D48" s="231"/>
    </row>
    <row r="51" spans="1:6" x14ac:dyDescent="0.25">
      <c r="A51" s="230" t="s">
        <v>288</v>
      </c>
      <c r="B51" s="230"/>
      <c r="C51" s="230"/>
      <c r="D51" s="230"/>
      <c r="E51" s="230"/>
      <c r="F51" s="230"/>
    </row>
    <row r="52" spans="1:6" ht="45" x14ac:dyDescent="0.25">
      <c r="A52" s="136" t="s">
        <v>307</v>
      </c>
      <c r="B52" s="136" t="s">
        <v>312</v>
      </c>
      <c r="C52" s="137" t="s">
        <v>313</v>
      </c>
      <c r="D52" s="136" t="s">
        <v>291</v>
      </c>
      <c r="E52" s="136" t="s">
        <v>292</v>
      </c>
      <c r="F52" s="136" t="s">
        <v>293</v>
      </c>
    </row>
    <row r="53" spans="1:6" ht="15.75" x14ac:dyDescent="0.25">
      <c r="A53" s="135" t="s">
        <v>306</v>
      </c>
      <c r="B53" s="134">
        <f>C12</f>
        <v>31.282621082621084</v>
      </c>
      <c r="C53" s="133">
        <v>250</v>
      </c>
      <c r="D53" s="127">
        <f>C53*B53</f>
        <v>7820.6552706552711</v>
      </c>
      <c r="E53" s="128">
        <f>D53*12</f>
        <v>93847.86324786325</v>
      </c>
      <c r="F53" s="128">
        <f>D53*24</f>
        <v>187695.7264957265</v>
      </c>
    </row>
    <row r="54" spans="1:6" ht="15.75" x14ac:dyDescent="0.25">
      <c r="A54" s="135" t="s">
        <v>308</v>
      </c>
      <c r="B54" s="134">
        <f>C24</f>
        <v>27.168793447293449</v>
      </c>
      <c r="C54" s="133">
        <v>100</v>
      </c>
      <c r="D54" s="127">
        <f t="shared" ref="D54:D56" si="0">C54*B54</f>
        <v>2716.8793447293451</v>
      </c>
      <c r="E54" s="128">
        <f>D54*12</f>
        <v>32602.552136752143</v>
      </c>
      <c r="F54" s="128">
        <f t="shared" ref="F54:F56" si="1">D54*24</f>
        <v>65205.104273504287</v>
      </c>
    </row>
    <row r="55" spans="1:6" ht="15.75" x14ac:dyDescent="0.25">
      <c r="A55" s="135" t="s">
        <v>309</v>
      </c>
      <c r="B55" s="134">
        <f>C36</f>
        <v>32.069277777777778</v>
      </c>
      <c r="C55" s="133">
        <v>100</v>
      </c>
      <c r="D55" s="127">
        <f t="shared" si="0"/>
        <v>3206.9277777777779</v>
      </c>
      <c r="E55" s="128">
        <f t="shared" ref="E55:E56" si="2">D55*12</f>
        <v>38483.133333333331</v>
      </c>
      <c r="F55" s="128">
        <f t="shared" si="1"/>
        <v>76966.266666666663</v>
      </c>
    </row>
    <row r="56" spans="1:6" ht="15.75" x14ac:dyDescent="0.25">
      <c r="A56" s="135" t="s">
        <v>310</v>
      </c>
      <c r="B56" s="134">
        <f>C48</f>
        <v>36.827905982905989</v>
      </c>
      <c r="C56" s="133">
        <v>50</v>
      </c>
      <c r="D56" s="127">
        <f t="shared" si="0"/>
        <v>1841.3952991452995</v>
      </c>
      <c r="E56" s="128">
        <f t="shared" si="2"/>
        <v>22096.743589743593</v>
      </c>
      <c r="F56" s="128">
        <f t="shared" si="1"/>
        <v>44193.487179487187</v>
      </c>
    </row>
    <row r="57" spans="1:6" ht="30" customHeight="1" x14ac:dyDescent="0.25">
      <c r="A57" s="227" t="s">
        <v>157</v>
      </c>
      <c r="B57" s="228"/>
      <c r="C57" s="229"/>
      <c r="D57" s="138">
        <f>SUM(D53:D56)</f>
        <v>15585.857692307693</v>
      </c>
      <c r="E57" s="138">
        <f t="shared" ref="E57:F57" si="3">SUM(E53:E56)</f>
        <v>187030.29230769232</v>
      </c>
      <c r="F57" s="138">
        <f t="shared" si="3"/>
        <v>374060.58461538464</v>
      </c>
    </row>
    <row r="58" spans="1:6" x14ac:dyDescent="0.25">
      <c r="A58" s="83"/>
      <c r="B58" s="83"/>
      <c r="C58" s="83"/>
      <c r="D58" s="83"/>
      <c r="E58" s="83"/>
    </row>
  </sheetData>
  <mergeCells count="59">
    <mergeCell ref="A27:B27"/>
    <mergeCell ref="A28:B28"/>
    <mergeCell ref="C27:D27"/>
    <mergeCell ref="C28:D28"/>
    <mergeCell ref="A39:B39"/>
    <mergeCell ref="C4:D4"/>
    <mergeCell ref="A3:B3"/>
    <mergeCell ref="A15:B15"/>
    <mergeCell ref="A16:B16"/>
    <mergeCell ref="C15:D15"/>
    <mergeCell ref="C16:D16"/>
    <mergeCell ref="C12:D12"/>
    <mergeCell ref="C45:D45"/>
    <mergeCell ref="C46:D46"/>
    <mergeCell ref="C47:D47"/>
    <mergeCell ref="A48:B48"/>
    <mergeCell ref="C48:D48"/>
    <mergeCell ref="C40:D40"/>
    <mergeCell ref="C41:D41"/>
    <mergeCell ref="C42:D42"/>
    <mergeCell ref="C43:D43"/>
    <mergeCell ref="C44:D44"/>
    <mergeCell ref="C20:D20"/>
    <mergeCell ref="C21:D21"/>
    <mergeCell ref="C22:D22"/>
    <mergeCell ref="C23:D23"/>
    <mergeCell ref="C24:D24"/>
    <mergeCell ref="C26:D26"/>
    <mergeCell ref="A57:C57"/>
    <mergeCell ref="A51:F51"/>
    <mergeCell ref="A24:B24"/>
    <mergeCell ref="C29:D29"/>
    <mergeCell ref="C30:D30"/>
    <mergeCell ref="C31:D31"/>
    <mergeCell ref="C32:D32"/>
    <mergeCell ref="C33:D33"/>
    <mergeCell ref="C34:D34"/>
    <mergeCell ref="C35:D35"/>
    <mergeCell ref="A36:B36"/>
    <mergeCell ref="C36:D36"/>
    <mergeCell ref="C38:D38"/>
    <mergeCell ref="A40:B40"/>
    <mergeCell ref="C39:D39"/>
    <mergeCell ref="C2:D2"/>
    <mergeCell ref="A1:D1"/>
    <mergeCell ref="C19:D19"/>
    <mergeCell ref="A12:B12"/>
    <mergeCell ref="A4:B4"/>
    <mergeCell ref="C5:D5"/>
    <mergeCell ref="C6:D6"/>
    <mergeCell ref="C7:D7"/>
    <mergeCell ref="C8:D8"/>
    <mergeCell ref="C9:D9"/>
    <mergeCell ref="C10:D10"/>
    <mergeCell ref="C11:D11"/>
    <mergeCell ref="C14:D14"/>
    <mergeCell ref="C17:D17"/>
    <mergeCell ref="C18:D18"/>
    <mergeCell ref="C3:D3"/>
  </mergeCells>
  <pageMargins left="0.511811024" right="0.511811024" top="0.78740157499999996" bottom="0.78740157499999996" header="0.31496062000000002" footer="0.31496062000000002"/>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B24" sqref="B24"/>
    </sheetView>
  </sheetViews>
  <sheetFormatPr defaultRowHeight="15" x14ac:dyDescent="0.25"/>
  <cols>
    <col min="1" max="1" width="62.5703125" customWidth="1"/>
    <col min="2" max="2" width="14.85546875" customWidth="1"/>
    <col min="3" max="3" width="12.42578125" customWidth="1"/>
    <col min="4" max="4" width="18.140625" customWidth="1"/>
    <col min="5" max="5" width="15.85546875" customWidth="1"/>
    <col min="6" max="6" width="14" customWidth="1"/>
  </cols>
  <sheetData>
    <row r="1" spans="1:4" ht="42.75" customHeight="1" x14ac:dyDescent="0.25">
      <c r="A1" s="217" t="s">
        <v>315</v>
      </c>
      <c r="B1" s="218"/>
      <c r="C1" s="218"/>
      <c r="D1" s="218"/>
    </row>
    <row r="2" spans="1:4" ht="31.5" x14ac:dyDescent="0.25">
      <c r="A2" s="124" t="s">
        <v>142</v>
      </c>
      <c r="B2" s="125" t="s">
        <v>143</v>
      </c>
      <c r="C2" s="216" t="s">
        <v>144</v>
      </c>
      <c r="D2" s="216"/>
    </row>
    <row r="3" spans="1:4" ht="36" customHeight="1" x14ac:dyDescent="0.25">
      <c r="A3" s="238" t="s">
        <v>305</v>
      </c>
      <c r="B3" s="239"/>
      <c r="C3" s="225" t="s">
        <v>318</v>
      </c>
      <c r="D3" s="226"/>
    </row>
    <row r="4" spans="1:4" ht="28.5" customHeight="1" x14ac:dyDescent="0.25">
      <c r="A4" s="221" t="s">
        <v>317</v>
      </c>
      <c r="B4" s="222"/>
      <c r="C4" s="236">
        <v>16200</v>
      </c>
      <c r="D4" s="237"/>
    </row>
    <row r="5" spans="1:4" ht="15.75" x14ac:dyDescent="0.25">
      <c r="A5" s="129" t="s">
        <v>298</v>
      </c>
      <c r="B5" s="131">
        <v>9.0999999999999998E-2</v>
      </c>
      <c r="C5" s="223">
        <f>B5*C4</f>
        <v>1474.2</v>
      </c>
      <c r="D5" s="223"/>
    </row>
    <row r="6" spans="1:4" ht="15.75" x14ac:dyDescent="0.25">
      <c r="A6" s="129" t="s">
        <v>299</v>
      </c>
      <c r="B6" s="131">
        <v>5.8999999999999997E-2</v>
      </c>
      <c r="C6" s="223">
        <f>B6*C4</f>
        <v>955.8</v>
      </c>
      <c r="D6" s="223"/>
    </row>
    <row r="7" spans="1:4" ht="15.75" x14ac:dyDescent="0.25">
      <c r="A7" s="121" t="s">
        <v>300</v>
      </c>
      <c r="B7" s="122">
        <f>SUM(B8:B11)</f>
        <v>0.1225</v>
      </c>
      <c r="C7" s="224">
        <f>((C4+C$5+C$6)/(1-($B$7)))*$B7</f>
        <v>2600.7692307692305</v>
      </c>
      <c r="D7" s="224"/>
    </row>
    <row r="8" spans="1:4" ht="15.75" x14ac:dyDescent="0.25">
      <c r="A8" s="123" t="s">
        <v>301</v>
      </c>
      <c r="B8" s="174">
        <v>9.2499999999999999E-2</v>
      </c>
      <c r="C8" s="224">
        <f>((C4+C$5+C$6)/(1-($B$7)))*$B8</f>
        <v>1963.8461538461538</v>
      </c>
      <c r="D8" s="224"/>
    </row>
    <row r="9" spans="1:4" ht="15.75" x14ac:dyDescent="0.25">
      <c r="A9" s="123" t="s">
        <v>302</v>
      </c>
      <c r="B9" s="122">
        <v>0</v>
      </c>
      <c r="C9" s="224">
        <f>((C4+C$5+C$6)/(1-($B$7)))*$B9</f>
        <v>0</v>
      </c>
      <c r="D9" s="224"/>
    </row>
    <row r="10" spans="1:4" ht="15.75" x14ac:dyDescent="0.25">
      <c r="A10" s="123" t="s">
        <v>303</v>
      </c>
      <c r="B10" s="174">
        <v>0.03</v>
      </c>
      <c r="C10" s="224">
        <f>((C4+C$5+C$6)/(1-($B$7)))*$B10</f>
        <v>636.92307692307691</v>
      </c>
      <c r="D10" s="224"/>
    </row>
    <row r="11" spans="1:4" ht="15.75" x14ac:dyDescent="0.25">
      <c r="A11" s="123" t="s">
        <v>304</v>
      </c>
      <c r="B11" s="122">
        <v>0</v>
      </c>
      <c r="C11" s="224">
        <f>((C4+C$5+C$6)/(1-($B$7)))*$B11</f>
        <v>0</v>
      </c>
      <c r="D11" s="224"/>
    </row>
    <row r="12" spans="1:4" ht="15.75" x14ac:dyDescent="0.25">
      <c r="A12" s="220" t="s">
        <v>294</v>
      </c>
      <c r="B12" s="220"/>
      <c r="C12" s="231">
        <f>C4+C7+C5+C6</f>
        <v>21230.76923076923</v>
      </c>
      <c r="D12" s="231"/>
    </row>
    <row r="15" spans="1:4" ht="31.5" x14ac:dyDescent="0.25">
      <c r="A15" s="124" t="s">
        <v>142</v>
      </c>
      <c r="B15" s="125" t="s">
        <v>143</v>
      </c>
      <c r="C15" s="216" t="s">
        <v>144</v>
      </c>
      <c r="D15" s="216"/>
    </row>
    <row r="16" spans="1:4" ht="45" customHeight="1" x14ac:dyDescent="0.25">
      <c r="A16" s="238" t="s">
        <v>305</v>
      </c>
      <c r="B16" s="239"/>
      <c r="C16" s="225" t="s">
        <v>318</v>
      </c>
      <c r="D16" s="226"/>
    </row>
    <row r="17" spans="1:5" ht="42.75" customHeight="1" x14ac:dyDescent="0.25">
      <c r="A17" s="221" t="s">
        <v>316</v>
      </c>
      <c r="B17" s="222"/>
      <c r="C17" s="236">
        <v>16200</v>
      </c>
      <c r="D17" s="237"/>
    </row>
    <row r="18" spans="1:5" ht="15.75" x14ac:dyDescent="0.25">
      <c r="A18" s="129" t="s">
        <v>298</v>
      </c>
      <c r="B18" s="131">
        <v>9.0999999999999998E-2</v>
      </c>
      <c r="C18" s="223">
        <f>B18*C17</f>
        <v>1474.2</v>
      </c>
      <c r="D18" s="223"/>
    </row>
    <row r="19" spans="1:5" ht="15.75" x14ac:dyDescent="0.25">
      <c r="A19" s="129" t="s">
        <v>299</v>
      </c>
      <c r="B19" s="131">
        <v>5.8999999999999997E-2</v>
      </c>
      <c r="C19" s="223">
        <f>B19*C17</f>
        <v>955.8</v>
      </c>
      <c r="D19" s="223"/>
    </row>
    <row r="20" spans="1:5" ht="15.75" x14ac:dyDescent="0.25">
      <c r="A20" s="129" t="s">
        <v>300</v>
      </c>
      <c r="B20" s="132">
        <f>SUM(B21:B24)</f>
        <v>0.1225</v>
      </c>
      <c r="C20" s="219">
        <f>((C17+C$5+C$6)/(1-($B$7)))*$B20</f>
        <v>2600.7692307692305</v>
      </c>
      <c r="D20" s="219"/>
    </row>
    <row r="21" spans="1:5" ht="15.75" x14ac:dyDescent="0.25">
      <c r="A21" s="123" t="s">
        <v>301</v>
      </c>
      <c r="B21" s="174">
        <v>9.2499999999999999E-2</v>
      </c>
      <c r="C21" s="224">
        <f>((C17+C$5+C$6)/(1-($B$7)))*$B21</f>
        <v>1963.8461538461538</v>
      </c>
      <c r="D21" s="224"/>
    </row>
    <row r="22" spans="1:5" ht="15.75" x14ac:dyDescent="0.25">
      <c r="A22" s="123" t="s">
        <v>302</v>
      </c>
      <c r="B22" s="122">
        <v>0</v>
      </c>
      <c r="C22" s="224">
        <f>((C17+C$5+C$6)/(1-($B$7)))*$B22</f>
        <v>0</v>
      </c>
      <c r="D22" s="224"/>
    </row>
    <row r="23" spans="1:5" ht="15.75" x14ac:dyDescent="0.25">
      <c r="A23" s="123" t="s">
        <v>303</v>
      </c>
      <c r="B23" s="174">
        <v>0.03</v>
      </c>
      <c r="C23" s="224">
        <f>((C17+C$5+C$6)/(1-($B$7)))*$B23</f>
        <v>636.92307692307691</v>
      </c>
      <c r="D23" s="224"/>
    </row>
    <row r="24" spans="1:5" ht="15.75" x14ac:dyDescent="0.25">
      <c r="A24" s="123" t="s">
        <v>304</v>
      </c>
      <c r="B24" s="122">
        <v>0</v>
      </c>
      <c r="C24" s="224">
        <f>((C17+C$5+C$6)/(1-($B$7)))*$B24</f>
        <v>0</v>
      </c>
      <c r="D24" s="224"/>
    </row>
    <row r="25" spans="1:5" ht="15.75" x14ac:dyDescent="0.25">
      <c r="A25" s="220" t="s">
        <v>296</v>
      </c>
      <c r="B25" s="220"/>
      <c r="C25" s="231">
        <f>C17+C20+C18+C19</f>
        <v>21230.76923076923</v>
      </c>
      <c r="D25" s="231"/>
    </row>
    <row r="29" spans="1:5" x14ac:dyDescent="0.25">
      <c r="A29" s="230" t="s">
        <v>288</v>
      </c>
      <c r="B29" s="230"/>
      <c r="C29" s="230"/>
      <c r="D29" s="230"/>
      <c r="E29" s="230"/>
    </row>
    <row r="30" spans="1:5" ht="30" x14ac:dyDescent="0.25">
      <c r="A30" s="136" t="s">
        <v>307</v>
      </c>
      <c r="B30" s="136" t="s">
        <v>311</v>
      </c>
      <c r="C30" s="137" t="s">
        <v>319</v>
      </c>
      <c r="D30" s="136" t="s">
        <v>292</v>
      </c>
      <c r="E30" s="136" t="s">
        <v>293</v>
      </c>
    </row>
    <row r="31" spans="1:5" ht="15.75" x14ac:dyDescent="0.25">
      <c r="A31" s="135" t="s">
        <v>317</v>
      </c>
      <c r="B31" s="134">
        <f>C12</f>
        <v>21230.76923076923</v>
      </c>
      <c r="C31" s="133">
        <v>1</v>
      </c>
      <c r="D31" s="127">
        <f>C31*B31</f>
        <v>21230.76923076923</v>
      </c>
      <c r="E31" s="128">
        <f>D31*2</f>
        <v>42461.538461538461</v>
      </c>
    </row>
    <row r="32" spans="1:5" ht="15.75" x14ac:dyDescent="0.25">
      <c r="A32" s="135" t="s">
        <v>316</v>
      </c>
      <c r="B32" s="134">
        <f>C25</f>
        <v>21230.76923076923</v>
      </c>
      <c r="C32" s="133">
        <v>2</v>
      </c>
      <c r="D32" s="127">
        <f t="shared" ref="D32" si="0">C32*B32</f>
        <v>42461.538461538461</v>
      </c>
      <c r="E32" s="128">
        <f>D32*2</f>
        <v>84923.076923076922</v>
      </c>
    </row>
    <row r="33" spans="1:5" ht="30" customHeight="1" x14ac:dyDescent="0.25">
      <c r="A33" s="227" t="s">
        <v>157</v>
      </c>
      <c r="B33" s="228"/>
      <c r="C33" s="229"/>
      <c r="D33" s="138">
        <f>SUM(D31:D32)</f>
        <v>63692.307692307688</v>
      </c>
      <c r="E33" s="138">
        <f>SUM(E31:E32)</f>
        <v>127384.61538461538</v>
      </c>
    </row>
    <row r="34" spans="1:5" x14ac:dyDescent="0.25">
      <c r="A34" s="83"/>
      <c r="B34" s="83"/>
      <c r="C34" s="83"/>
      <c r="D34" s="83"/>
      <c r="E34" s="83"/>
    </row>
  </sheetData>
  <mergeCells count="31">
    <mergeCell ref="C10:D10"/>
    <mergeCell ref="A1:D1"/>
    <mergeCell ref="C2:D2"/>
    <mergeCell ref="A3:B3"/>
    <mergeCell ref="C3:D3"/>
    <mergeCell ref="A4:B4"/>
    <mergeCell ref="C4:D4"/>
    <mergeCell ref="C5:D5"/>
    <mergeCell ref="C6:D6"/>
    <mergeCell ref="C7:D7"/>
    <mergeCell ref="C8:D8"/>
    <mergeCell ref="C9:D9"/>
    <mergeCell ref="C19:D19"/>
    <mergeCell ref="C15:D15"/>
    <mergeCell ref="C11:D11"/>
    <mergeCell ref="A12:B12"/>
    <mergeCell ref="C12:D12"/>
    <mergeCell ref="A16:B16"/>
    <mergeCell ref="C16:D16"/>
    <mergeCell ref="A17:B17"/>
    <mergeCell ref="C17:D17"/>
    <mergeCell ref="C18:D18"/>
    <mergeCell ref="A29:E29"/>
    <mergeCell ref="A33:C33"/>
    <mergeCell ref="C20:D20"/>
    <mergeCell ref="C21:D21"/>
    <mergeCell ref="C22:D22"/>
    <mergeCell ref="C23:D23"/>
    <mergeCell ref="C24:D24"/>
    <mergeCell ref="A25:B25"/>
    <mergeCell ref="C25:D25"/>
  </mergeCells>
  <pageMargins left="0.511811024" right="0.511811024" top="0.78740157499999996" bottom="0.78740157499999996" header="0.31496062000000002" footer="0.31496062000000002"/>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4"/>
  <sheetViews>
    <sheetView workbookViewId="0">
      <selection activeCell="B13" sqref="B13"/>
    </sheetView>
  </sheetViews>
  <sheetFormatPr defaultRowHeight="15" x14ac:dyDescent="0.25"/>
  <cols>
    <col min="1" max="1" width="55.42578125" customWidth="1"/>
    <col min="2" max="2" width="14.28515625" customWidth="1"/>
    <col min="3" max="3" width="16.5703125" customWidth="1"/>
    <col min="4" max="4" width="12.7109375" customWidth="1"/>
    <col min="5" max="5" width="18.42578125" customWidth="1"/>
  </cols>
  <sheetData>
    <row r="2" spans="1:3" x14ac:dyDescent="0.25">
      <c r="A2" s="240" t="s">
        <v>321</v>
      </c>
      <c r="B2" s="240"/>
      <c r="C2" s="240"/>
    </row>
    <row r="3" spans="1:3" s="83" customFormat="1" x14ac:dyDescent="0.25">
      <c r="A3" s="242" t="s">
        <v>172</v>
      </c>
      <c r="B3" s="242"/>
      <c r="C3" s="141" t="s">
        <v>320</v>
      </c>
    </row>
    <row r="4" spans="1:3" s="83" customFormat="1" ht="35.25" customHeight="1" x14ac:dyDescent="0.25">
      <c r="A4" s="243" t="s">
        <v>608</v>
      </c>
      <c r="B4" s="244"/>
      <c r="C4" s="146">
        <f>3597.6+3579.29</f>
        <v>7176.8899999999994</v>
      </c>
    </row>
    <row r="5" spans="1:3" s="83" customFormat="1" ht="33.75" customHeight="1" x14ac:dyDescent="0.25">
      <c r="A5" s="243" t="s">
        <v>609</v>
      </c>
      <c r="B5" s="243"/>
      <c r="C5" s="146">
        <v>2153.8000000000002</v>
      </c>
    </row>
    <row r="6" spans="1:3" ht="15.75" x14ac:dyDescent="0.25">
      <c r="A6" s="205" t="s">
        <v>167</v>
      </c>
      <c r="B6" s="205"/>
      <c r="C6" s="143">
        <f>C4+C5</f>
        <v>9330.6899999999987</v>
      </c>
    </row>
    <row r="7" spans="1:3" ht="38.25" customHeight="1" x14ac:dyDescent="0.25">
      <c r="A7" s="129" t="s">
        <v>298</v>
      </c>
      <c r="B7" s="131">
        <v>9.0999999999999998E-2</v>
      </c>
      <c r="C7" s="144">
        <f>B7*C6</f>
        <v>849.09278999999981</v>
      </c>
    </row>
    <row r="8" spans="1:3" ht="24" customHeight="1" x14ac:dyDescent="0.25">
      <c r="A8" s="129" t="s">
        <v>314</v>
      </c>
      <c r="B8" s="131">
        <v>5.8999999999999997E-2</v>
      </c>
      <c r="C8" s="144">
        <f>B8*C6</f>
        <v>550.5107099999999</v>
      </c>
    </row>
    <row r="9" spans="1:3" ht="15.75" x14ac:dyDescent="0.25">
      <c r="A9" s="129" t="s">
        <v>300</v>
      </c>
      <c r="B9" s="122">
        <f>SUM(B10:B13)</f>
        <v>0.1225</v>
      </c>
      <c r="C9" s="145">
        <f>((C$6+C$7+C$8)/(1-($B$9)))*$B9</f>
        <v>1497.9612008547008</v>
      </c>
    </row>
    <row r="10" spans="1:3" ht="15.75" x14ac:dyDescent="0.25">
      <c r="A10" s="130" t="s">
        <v>301</v>
      </c>
      <c r="B10" s="174">
        <v>9.2499999999999999E-2</v>
      </c>
      <c r="C10" s="145">
        <f t="shared" ref="C10:C13" si="0">((C$6+C$7+C$8)/(1-($B$9)))*$B10</f>
        <v>1131.1135598290598</v>
      </c>
    </row>
    <row r="11" spans="1:3" ht="15.75" x14ac:dyDescent="0.25">
      <c r="A11" s="123" t="s">
        <v>302</v>
      </c>
      <c r="B11" s="122">
        <v>0</v>
      </c>
      <c r="C11" s="139">
        <f t="shared" si="0"/>
        <v>0</v>
      </c>
    </row>
    <row r="12" spans="1:3" ht="15.75" x14ac:dyDescent="0.25">
      <c r="A12" s="123" t="s">
        <v>303</v>
      </c>
      <c r="B12" s="174">
        <v>0.03</v>
      </c>
      <c r="C12" s="139">
        <f t="shared" si="0"/>
        <v>366.847641025641</v>
      </c>
    </row>
    <row r="13" spans="1:3" ht="15.75" x14ac:dyDescent="0.25">
      <c r="A13" s="123" t="s">
        <v>304</v>
      </c>
      <c r="B13" s="122">
        <v>0</v>
      </c>
      <c r="C13" s="139">
        <f t="shared" si="0"/>
        <v>0</v>
      </c>
    </row>
    <row r="14" spans="1:3" ht="15.75" x14ac:dyDescent="0.25">
      <c r="A14" s="241" t="s">
        <v>322</v>
      </c>
      <c r="B14" s="241"/>
      <c r="C14" s="140">
        <f>C6+C7+C8+C9</f>
        <v>12228.254700854701</v>
      </c>
    </row>
  </sheetData>
  <mergeCells count="6">
    <mergeCell ref="A2:C2"/>
    <mergeCell ref="A6:B6"/>
    <mergeCell ref="A14:B14"/>
    <mergeCell ref="A3:B3"/>
    <mergeCell ref="A4:B4"/>
    <mergeCell ref="A5:B5"/>
  </mergeCell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53"/>
  <sheetViews>
    <sheetView zoomScaleNormal="100" workbookViewId="0">
      <selection activeCell="I52" sqref="I52"/>
    </sheetView>
  </sheetViews>
  <sheetFormatPr defaultRowHeight="15" x14ac:dyDescent="0.25"/>
  <cols>
    <col min="1" max="1" width="15.85546875" customWidth="1"/>
    <col min="2" max="2" width="9.140625" style="116"/>
    <col min="3" max="3" width="44.7109375" customWidth="1"/>
    <col min="4" max="4" width="12.7109375" customWidth="1"/>
    <col min="5" max="5" width="14.140625" customWidth="1"/>
    <col min="6" max="6" width="17.85546875" customWidth="1"/>
    <col min="7" max="8" width="15.28515625" customWidth="1"/>
    <col min="9" max="10" width="18" customWidth="1"/>
    <col min="11" max="11" width="9.140625" style="96"/>
  </cols>
  <sheetData>
    <row r="2" spans="1:11" ht="33.75" customHeight="1" x14ac:dyDescent="0.25">
      <c r="C2" s="276" t="s">
        <v>124</v>
      </c>
      <c r="D2" s="276"/>
      <c r="E2" s="276"/>
      <c r="F2" s="276"/>
      <c r="G2" s="276"/>
      <c r="H2" s="276"/>
      <c r="I2" s="276"/>
      <c r="J2" s="276"/>
    </row>
    <row r="3" spans="1:11" x14ac:dyDescent="0.25">
      <c r="A3" s="245" t="s">
        <v>633</v>
      </c>
      <c r="B3" s="256" t="s">
        <v>225</v>
      </c>
      <c r="C3" s="279" t="s">
        <v>158</v>
      </c>
      <c r="D3" s="279"/>
      <c r="E3" s="279"/>
      <c r="F3" s="279"/>
      <c r="G3" s="279"/>
      <c r="H3" s="279"/>
      <c r="I3" s="279"/>
      <c r="J3" s="279"/>
      <c r="K3" s="169" t="s">
        <v>604</v>
      </c>
    </row>
    <row r="4" spans="1:11" ht="24" x14ac:dyDescent="0.25">
      <c r="A4" s="245"/>
      <c r="B4" s="257"/>
      <c r="C4" s="77" t="s">
        <v>2</v>
      </c>
      <c r="D4" s="77" t="s">
        <v>129</v>
      </c>
      <c r="E4" s="77" t="s">
        <v>125</v>
      </c>
      <c r="F4" s="77" t="s">
        <v>130</v>
      </c>
      <c r="G4" s="77" t="s">
        <v>126</v>
      </c>
      <c r="H4" s="77" t="s">
        <v>221</v>
      </c>
      <c r="I4" s="77" t="s">
        <v>127</v>
      </c>
      <c r="J4" s="77" t="s">
        <v>603</v>
      </c>
    </row>
    <row r="5" spans="1:11" x14ac:dyDescent="0.25">
      <c r="A5" s="245"/>
      <c r="B5" s="112" t="s">
        <v>226</v>
      </c>
      <c r="C5" s="76" t="s">
        <v>138</v>
      </c>
      <c r="D5" s="75">
        <f>'Téc. Manutenção'!C140</f>
        <v>11841.685494625128</v>
      </c>
      <c r="E5" s="76" t="s">
        <v>128</v>
      </c>
      <c r="F5" s="74">
        <v>12</v>
      </c>
      <c r="G5" s="75">
        <f>F5*D5</f>
        <v>142100.22593550154</v>
      </c>
      <c r="H5" s="74">
        <v>12</v>
      </c>
      <c r="I5" s="78">
        <f t="shared" ref="I5:I13" si="0">G5*12</f>
        <v>1705202.7112260186</v>
      </c>
      <c r="J5" s="78">
        <f>I5*2</f>
        <v>3410405.4224520372</v>
      </c>
      <c r="K5" s="96">
        <f t="shared" ref="K5:K14" si="1">I5/I$45</f>
        <v>0.3414693260800114</v>
      </c>
    </row>
    <row r="6" spans="1:11" x14ac:dyDescent="0.25">
      <c r="A6" s="245"/>
      <c r="B6" s="119" t="s">
        <v>227</v>
      </c>
      <c r="C6" s="76" t="s">
        <v>262</v>
      </c>
      <c r="D6" s="75">
        <f>'Téc. Interno'!C140</f>
        <v>6802.5371067394153</v>
      </c>
      <c r="E6" s="76" t="s">
        <v>128</v>
      </c>
      <c r="F6" s="74">
        <v>1</v>
      </c>
      <c r="G6" s="75">
        <f>F6*D6</f>
        <v>6802.5371067394153</v>
      </c>
      <c r="H6" s="74">
        <v>1</v>
      </c>
      <c r="I6" s="78">
        <f t="shared" si="0"/>
        <v>81630.445280872984</v>
      </c>
      <c r="J6" s="78">
        <f t="shared" ref="J6:J13" si="2">I6*2</f>
        <v>163260.89056174597</v>
      </c>
      <c r="K6" s="96">
        <f t="shared" si="1"/>
        <v>1.6346615539703013E-2</v>
      </c>
    </row>
    <row r="7" spans="1:11" x14ac:dyDescent="0.25">
      <c r="A7" s="245"/>
      <c r="B7" s="112" t="s">
        <v>228</v>
      </c>
      <c r="C7" s="76" t="s">
        <v>257</v>
      </c>
      <c r="D7" s="75">
        <f>'Aux. Operações Campo'!C140</f>
        <v>11119.052040121067</v>
      </c>
      <c r="E7" s="76" t="s">
        <v>128</v>
      </c>
      <c r="F7" s="74">
        <v>12</v>
      </c>
      <c r="G7" s="75">
        <f t="shared" ref="G7:G13" si="3">D7*F7</f>
        <v>133428.6244814528</v>
      </c>
      <c r="H7" s="74">
        <v>12</v>
      </c>
      <c r="I7" s="78">
        <f t="shared" si="0"/>
        <v>1601143.4937774336</v>
      </c>
      <c r="J7" s="78">
        <f t="shared" si="2"/>
        <v>3202286.9875548673</v>
      </c>
      <c r="K7" s="96">
        <f t="shared" si="1"/>
        <v>0.3206313162524092</v>
      </c>
    </row>
    <row r="8" spans="1:11" x14ac:dyDescent="0.25">
      <c r="A8" s="245"/>
      <c r="B8" s="112" t="s">
        <v>229</v>
      </c>
      <c r="C8" s="76" t="s">
        <v>258</v>
      </c>
      <c r="D8" s="73">
        <f>Encarregados!C140</f>
        <v>9031.8761599996651</v>
      </c>
      <c r="E8" s="76" t="s">
        <v>128</v>
      </c>
      <c r="F8" s="74">
        <v>1</v>
      </c>
      <c r="G8" s="75">
        <f t="shared" si="3"/>
        <v>9031.8761599996651</v>
      </c>
      <c r="H8" s="74">
        <v>1</v>
      </c>
      <c r="I8" s="78">
        <f t="shared" si="0"/>
        <v>108382.51391999598</v>
      </c>
      <c r="J8" s="78">
        <f t="shared" si="2"/>
        <v>216765.02783999196</v>
      </c>
      <c r="K8" s="96">
        <f t="shared" si="1"/>
        <v>2.1703756241690041E-2</v>
      </c>
    </row>
    <row r="9" spans="1:11" ht="15.75" customHeight="1" x14ac:dyDescent="0.25">
      <c r="A9" s="245"/>
      <c r="B9" s="112" t="s">
        <v>230</v>
      </c>
      <c r="C9" s="76" t="s">
        <v>259</v>
      </c>
      <c r="D9" s="73">
        <f>'Aux. Operações Almox.'!C140</f>
        <v>5555.4965642561438</v>
      </c>
      <c r="E9" s="76" t="s">
        <v>128</v>
      </c>
      <c r="F9" s="74">
        <v>1</v>
      </c>
      <c r="G9" s="75">
        <f t="shared" si="3"/>
        <v>5555.4965642561438</v>
      </c>
      <c r="H9" s="74">
        <v>1</v>
      </c>
      <c r="I9" s="78">
        <f t="shared" si="0"/>
        <v>66665.958771073725</v>
      </c>
      <c r="J9" s="78">
        <f t="shared" si="2"/>
        <v>133331.91754214745</v>
      </c>
      <c r="K9" s="96">
        <f t="shared" si="1"/>
        <v>1.3349955324472289E-2</v>
      </c>
    </row>
    <row r="10" spans="1:11" ht="15.75" customHeight="1" x14ac:dyDescent="0.25">
      <c r="A10" s="245"/>
      <c r="B10" s="119" t="s">
        <v>231</v>
      </c>
      <c r="C10" s="76" t="s">
        <v>282</v>
      </c>
      <c r="D10" s="73">
        <f>'Aux. Operações Almox. Emp.'!C140</f>
        <v>6012.2001715469059</v>
      </c>
      <c r="E10" s="76" t="s">
        <v>128</v>
      </c>
      <c r="F10" s="74">
        <v>1</v>
      </c>
      <c r="G10" s="75">
        <f t="shared" si="3"/>
        <v>6012.2001715469059</v>
      </c>
      <c r="H10" s="74">
        <v>1</v>
      </c>
      <c r="I10" s="78">
        <f t="shared" si="0"/>
        <v>72146.402058562875</v>
      </c>
      <c r="J10" s="78">
        <f t="shared" si="2"/>
        <v>144292.80411712575</v>
      </c>
      <c r="K10" s="96">
        <f t="shared" si="1"/>
        <v>1.4447422073544677E-2</v>
      </c>
    </row>
    <row r="11" spans="1:11" x14ac:dyDescent="0.25">
      <c r="A11" s="245"/>
      <c r="B11" s="112" t="s">
        <v>232</v>
      </c>
      <c r="C11" s="76" t="s">
        <v>260</v>
      </c>
      <c r="D11" s="73">
        <f>Encarregados!C140</f>
        <v>9031.8761599996651</v>
      </c>
      <c r="E11" s="76" t="s">
        <v>128</v>
      </c>
      <c r="F11" s="74">
        <v>1</v>
      </c>
      <c r="G11" s="75">
        <f t="shared" si="3"/>
        <v>9031.8761599996651</v>
      </c>
      <c r="H11" s="74">
        <v>1</v>
      </c>
      <c r="I11" s="78">
        <f t="shared" si="0"/>
        <v>108382.51391999598</v>
      </c>
      <c r="J11" s="78">
        <f t="shared" si="2"/>
        <v>216765.02783999196</v>
      </c>
      <c r="K11" s="96">
        <f t="shared" si="1"/>
        <v>2.1703756241690041E-2</v>
      </c>
    </row>
    <row r="12" spans="1:11" x14ac:dyDescent="0.25">
      <c r="A12" s="245"/>
      <c r="B12" s="112" t="s">
        <v>233</v>
      </c>
      <c r="C12" s="76" t="s">
        <v>261</v>
      </c>
      <c r="D12" s="73">
        <f>Encarregados!C140</f>
        <v>9031.8761599996651</v>
      </c>
      <c r="E12" s="76" t="s">
        <v>128</v>
      </c>
      <c r="F12" s="74">
        <v>2</v>
      </c>
      <c r="G12" s="75">
        <f t="shared" si="3"/>
        <v>18063.75231999933</v>
      </c>
      <c r="H12" s="74">
        <v>2</v>
      </c>
      <c r="I12" s="78">
        <f t="shared" si="0"/>
        <v>216765.02783999196</v>
      </c>
      <c r="J12" s="78">
        <f t="shared" si="2"/>
        <v>433530.05567998393</v>
      </c>
      <c r="K12" s="96">
        <f t="shared" si="1"/>
        <v>4.3407512483380081E-2</v>
      </c>
    </row>
    <row r="13" spans="1:11" x14ac:dyDescent="0.25">
      <c r="A13" s="245"/>
      <c r="B13" s="112" t="s">
        <v>234</v>
      </c>
      <c r="C13" s="76" t="s">
        <v>283</v>
      </c>
      <c r="D13" s="73">
        <f>'Encarregado-geral'!C140</f>
        <v>10773.048899997</v>
      </c>
      <c r="E13" s="76" t="s">
        <v>128</v>
      </c>
      <c r="F13" s="74">
        <v>1</v>
      </c>
      <c r="G13" s="75">
        <f t="shared" si="3"/>
        <v>10773.048899997</v>
      </c>
      <c r="H13" s="74">
        <v>1</v>
      </c>
      <c r="I13" s="78">
        <f t="shared" si="0"/>
        <v>129276.586799964</v>
      </c>
      <c r="J13" s="78">
        <f t="shared" si="2"/>
        <v>258553.17359992801</v>
      </c>
      <c r="K13" s="96">
        <f t="shared" si="1"/>
        <v>2.5887824762352653E-2</v>
      </c>
    </row>
    <row r="14" spans="1:11" ht="34.5" customHeight="1" x14ac:dyDescent="0.25">
      <c r="A14" s="245"/>
      <c r="B14" s="112"/>
      <c r="C14" s="258" t="s">
        <v>140</v>
      </c>
      <c r="D14" s="259"/>
      <c r="E14" s="260"/>
      <c r="F14" s="85">
        <f>SUM(F5:F13)</f>
        <v>32</v>
      </c>
      <c r="G14" s="86">
        <f>SUM(G5:G13)</f>
        <v>340799.6377994924</v>
      </c>
      <c r="H14" s="85">
        <f>SUM(H5:H13)</f>
        <v>32</v>
      </c>
      <c r="I14" s="86">
        <f>SUM(I5:I13)</f>
        <v>4089595.6535939095</v>
      </c>
      <c r="J14" s="97">
        <f>SUM(J5:J13)</f>
        <v>8179191.3071878189</v>
      </c>
      <c r="K14" s="96">
        <f t="shared" si="1"/>
        <v>0.81894748499925329</v>
      </c>
    </row>
    <row r="15" spans="1:11" ht="34.5" customHeight="1" x14ac:dyDescent="0.25">
      <c r="A15" s="245"/>
      <c r="B15" s="256" t="s">
        <v>225</v>
      </c>
      <c r="C15" s="273" t="s">
        <v>171</v>
      </c>
      <c r="D15" s="274"/>
      <c r="E15" s="274"/>
      <c r="F15" s="274"/>
      <c r="G15" s="274"/>
      <c r="H15" s="274"/>
      <c r="I15" s="274"/>
      <c r="J15" s="275"/>
    </row>
    <row r="16" spans="1:11" ht="34.5" customHeight="1" x14ac:dyDescent="0.25">
      <c r="A16" s="245"/>
      <c r="B16" s="257"/>
      <c r="C16" s="77" t="s">
        <v>2</v>
      </c>
      <c r="D16" s="77" t="s">
        <v>159</v>
      </c>
      <c r="E16" s="77" t="s">
        <v>125</v>
      </c>
      <c r="F16" s="77" t="s">
        <v>160</v>
      </c>
      <c r="G16" s="77" t="s">
        <v>126</v>
      </c>
      <c r="H16" s="77" t="s">
        <v>218</v>
      </c>
      <c r="I16" s="77" t="s">
        <v>127</v>
      </c>
      <c r="J16" s="77" t="s">
        <v>603</v>
      </c>
    </row>
    <row r="17" spans="1:13" ht="34.5" customHeight="1" x14ac:dyDescent="0.25">
      <c r="A17" s="245"/>
      <c r="B17" s="112" t="s">
        <v>235</v>
      </c>
      <c r="C17" s="76" t="s">
        <v>345</v>
      </c>
      <c r="D17" s="75">
        <f>'Sistemas Log.'!C16</f>
        <v>11680.369800569801</v>
      </c>
      <c r="E17" s="76" t="s">
        <v>173</v>
      </c>
      <c r="F17" s="74">
        <v>1</v>
      </c>
      <c r="G17" s="75">
        <f>D17*F17</f>
        <v>11680.369800569801</v>
      </c>
      <c r="H17" s="74">
        <v>12</v>
      </c>
      <c r="I17" s="78">
        <f>G17*12</f>
        <v>140164.4376068376</v>
      </c>
      <c r="J17" s="78">
        <f>I17*2</f>
        <v>280328.8752136752</v>
      </c>
      <c r="K17" s="96">
        <f>I17/I$45</f>
        <v>2.8068132741578031E-2</v>
      </c>
    </row>
    <row r="18" spans="1:13" ht="34.5" customHeight="1" x14ac:dyDescent="0.25">
      <c r="A18" s="245"/>
      <c r="B18" s="112"/>
      <c r="C18" s="258" t="s">
        <v>140</v>
      </c>
      <c r="D18" s="259"/>
      <c r="E18" s="260"/>
      <c r="F18" s="85">
        <v>1</v>
      </c>
      <c r="G18" s="86">
        <f>SUM(G17:G17)</f>
        <v>11680.369800569801</v>
      </c>
      <c r="H18" s="111">
        <v>12</v>
      </c>
      <c r="I18" s="86">
        <f>SUM(I17:I17)</f>
        <v>140164.4376068376</v>
      </c>
      <c r="J18" s="97">
        <f>SUM(J17:J17)</f>
        <v>280328.8752136752</v>
      </c>
      <c r="K18" s="96">
        <f>I18/I$45</f>
        <v>2.8068132741578031E-2</v>
      </c>
    </row>
    <row r="19" spans="1:13" x14ac:dyDescent="0.25">
      <c r="A19" s="246" t="s">
        <v>634</v>
      </c>
      <c r="B19" s="256" t="s">
        <v>225</v>
      </c>
      <c r="C19" s="279" t="s">
        <v>325</v>
      </c>
      <c r="D19" s="279"/>
      <c r="E19" s="279"/>
      <c r="F19" s="279"/>
      <c r="G19" s="279"/>
      <c r="H19" s="279"/>
      <c r="I19" s="279"/>
      <c r="J19" s="279"/>
    </row>
    <row r="20" spans="1:13" ht="24" x14ac:dyDescent="0.25">
      <c r="A20" s="246"/>
      <c r="B20" s="257"/>
      <c r="C20" s="77" t="s">
        <v>2</v>
      </c>
      <c r="D20" s="77" t="s">
        <v>159</v>
      </c>
      <c r="E20" s="77" t="s">
        <v>125</v>
      </c>
      <c r="F20" s="77" t="s">
        <v>327</v>
      </c>
      <c r="G20" s="77" t="s">
        <v>126</v>
      </c>
      <c r="H20" s="77" t="s">
        <v>218</v>
      </c>
      <c r="I20" s="77" t="s">
        <v>127</v>
      </c>
      <c r="J20" s="77" t="s">
        <v>603</v>
      </c>
    </row>
    <row r="21" spans="1:13" x14ac:dyDescent="0.25">
      <c r="A21" s="246"/>
      <c r="B21" s="112" t="s">
        <v>236</v>
      </c>
      <c r="C21" s="76" t="s">
        <v>306</v>
      </c>
      <c r="D21" s="134">
        <f>'Zeladoria Sítios'!B53</f>
        <v>31.282621082621084</v>
      </c>
      <c r="E21" s="76" t="s">
        <v>326</v>
      </c>
      <c r="F21" s="74">
        <f>'Zeladoria Sítios'!C53</f>
        <v>250</v>
      </c>
      <c r="G21" s="75">
        <f>F21*D21</f>
        <v>7820.6552706552711</v>
      </c>
      <c r="H21" s="74">
        <f>F21*12</f>
        <v>3000</v>
      </c>
      <c r="I21" s="78">
        <f>H21*D21</f>
        <v>93847.86324786325</v>
      </c>
      <c r="J21" s="78">
        <f>I21*2</f>
        <v>187695.7264957265</v>
      </c>
      <c r="K21" s="96">
        <f>I21/I$45</f>
        <v>1.8793171278889274E-2</v>
      </c>
    </row>
    <row r="22" spans="1:13" x14ac:dyDescent="0.25">
      <c r="A22" s="246"/>
      <c r="B22" s="112" t="s">
        <v>237</v>
      </c>
      <c r="C22" s="76" t="s">
        <v>308</v>
      </c>
      <c r="D22" s="134">
        <f>'Zeladoria Sítios'!B54</f>
        <v>27.168793447293449</v>
      </c>
      <c r="E22" s="76" t="s">
        <v>326</v>
      </c>
      <c r="F22" s="74">
        <f>'Zeladoria Sítios'!C54</f>
        <v>100</v>
      </c>
      <c r="G22" s="75">
        <f t="shared" ref="G22:G24" si="4">F22*D22</f>
        <v>2716.8793447293451</v>
      </c>
      <c r="H22" s="74">
        <f t="shared" ref="H22:H24" si="5">F22*12</f>
        <v>1200</v>
      </c>
      <c r="I22" s="78">
        <f>H22*D22</f>
        <v>32602.55213675214</v>
      </c>
      <c r="J22" s="78">
        <f t="shared" ref="J22:J24" si="6">I22*2</f>
        <v>65205.104273504279</v>
      </c>
      <c r="K22" s="96">
        <f>I22/I$45</f>
        <v>6.5287085420013616E-3</v>
      </c>
    </row>
    <row r="23" spans="1:13" x14ac:dyDescent="0.25">
      <c r="A23" s="246"/>
      <c r="B23" s="112" t="s">
        <v>238</v>
      </c>
      <c r="C23" s="76" t="s">
        <v>309</v>
      </c>
      <c r="D23" s="134">
        <f>'Zeladoria Sítios'!B55</f>
        <v>32.069277777777778</v>
      </c>
      <c r="E23" s="76" t="s">
        <v>326</v>
      </c>
      <c r="F23" s="74">
        <f>'Zeladoria Sítios'!C55</f>
        <v>100</v>
      </c>
      <c r="G23" s="75">
        <f t="shared" si="4"/>
        <v>3206.9277777777779</v>
      </c>
      <c r="H23" s="74">
        <f t="shared" si="5"/>
        <v>1200</v>
      </c>
      <c r="I23" s="78">
        <f>H23*D23</f>
        <v>38483.133333333331</v>
      </c>
      <c r="J23" s="78">
        <f t="shared" si="6"/>
        <v>76966.266666666663</v>
      </c>
      <c r="K23" s="96">
        <f>I23/I$45</f>
        <v>7.7063034900598324E-3</v>
      </c>
    </row>
    <row r="24" spans="1:13" x14ac:dyDescent="0.25">
      <c r="A24" s="246"/>
      <c r="B24" s="112" t="s">
        <v>239</v>
      </c>
      <c r="C24" s="76" t="s">
        <v>310</v>
      </c>
      <c r="D24" s="134">
        <f>'Zeladoria Sítios'!B56</f>
        <v>36.827905982905989</v>
      </c>
      <c r="E24" s="76" t="s">
        <v>326</v>
      </c>
      <c r="F24" s="74">
        <f>'Zeladoria Sítios'!C56</f>
        <v>50</v>
      </c>
      <c r="G24" s="75">
        <f t="shared" si="4"/>
        <v>1841.3952991452995</v>
      </c>
      <c r="H24" s="74">
        <f t="shared" si="5"/>
        <v>600</v>
      </c>
      <c r="I24" s="78">
        <f>H24*D24</f>
        <v>22096.743589743593</v>
      </c>
      <c r="J24" s="78">
        <f t="shared" si="6"/>
        <v>44193.487179487187</v>
      </c>
      <c r="K24" s="96">
        <f>I24/I$45</f>
        <v>4.4249050816530435E-3</v>
      </c>
    </row>
    <row r="25" spans="1:13" ht="15" customHeight="1" x14ac:dyDescent="0.25">
      <c r="A25" s="246"/>
      <c r="B25" s="112"/>
      <c r="C25" s="265" t="s">
        <v>140</v>
      </c>
      <c r="D25" s="266"/>
      <c r="E25" s="267"/>
      <c r="F25" s="277">
        <f>SUM(F21:F24)</f>
        <v>500</v>
      </c>
      <c r="G25" s="271">
        <f t="shared" ref="G25:I25" si="7">SUM(G21:G24)</f>
        <v>15585.857692307693</v>
      </c>
      <c r="H25" s="277">
        <f t="shared" si="7"/>
        <v>6000</v>
      </c>
      <c r="I25" s="271">
        <f t="shared" si="7"/>
        <v>187030.29230769232</v>
      </c>
      <c r="J25" s="271">
        <f t="shared" ref="J25" si="8">SUM(J21:J24)</f>
        <v>374060.58461538464</v>
      </c>
      <c r="K25" s="264">
        <f>I25/I$45</f>
        <v>3.7453088392603515E-2</v>
      </c>
      <c r="M25" s="87"/>
    </row>
    <row r="26" spans="1:13" ht="17.25" customHeight="1" x14ac:dyDescent="0.25">
      <c r="A26" s="246"/>
      <c r="B26" s="112"/>
      <c r="C26" s="268"/>
      <c r="D26" s="269"/>
      <c r="E26" s="270"/>
      <c r="F26" s="278"/>
      <c r="G26" s="272"/>
      <c r="H26" s="278"/>
      <c r="I26" s="272"/>
      <c r="J26" s="272"/>
      <c r="K26" s="264"/>
    </row>
    <row r="27" spans="1:13" x14ac:dyDescent="0.25">
      <c r="A27" s="246"/>
      <c r="B27" s="256" t="s">
        <v>225</v>
      </c>
      <c r="C27" s="273" t="s">
        <v>165</v>
      </c>
      <c r="D27" s="274"/>
      <c r="E27" s="274"/>
      <c r="F27" s="274"/>
      <c r="G27" s="274"/>
      <c r="H27" s="274"/>
      <c r="I27" s="274"/>
      <c r="J27" s="275"/>
    </row>
    <row r="28" spans="1:13" ht="24" x14ac:dyDescent="0.25">
      <c r="A28" s="246"/>
      <c r="B28" s="257"/>
      <c r="C28" s="77" t="s">
        <v>2</v>
      </c>
      <c r="D28" s="77" t="s">
        <v>159</v>
      </c>
      <c r="E28" s="77" t="s">
        <v>125</v>
      </c>
      <c r="F28" s="77" t="s">
        <v>214</v>
      </c>
      <c r="G28" s="77" t="s">
        <v>126</v>
      </c>
      <c r="H28" s="77" t="s">
        <v>222</v>
      </c>
      <c r="I28" s="77" t="s">
        <v>215</v>
      </c>
      <c r="J28" s="77" t="s">
        <v>603</v>
      </c>
    </row>
    <row r="29" spans="1:13" ht="15.75" customHeight="1" x14ac:dyDescent="0.25">
      <c r="A29" s="246"/>
      <c r="B29" s="112" t="s">
        <v>240</v>
      </c>
      <c r="C29" s="76" t="s">
        <v>170</v>
      </c>
      <c r="D29" s="75">
        <f>Empilhadeira!C26</f>
        <v>452.57204545454545</v>
      </c>
      <c r="E29" s="76" t="s">
        <v>166</v>
      </c>
      <c r="F29" s="74">
        <v>3</v>
      </c>
      <c r="G29" s="75">
        <f>D29*F29</f>
        <v>1357.7161363636365</v>
      </c>
      <c r="H29" s="74">
        <f>F29*12</f>
        <v>36</v>
      </c>
      <c r="I29" s="78">
        <f>G29*12</f>
        <v>16292.593636363637</v>
      </c>
      <c r="J29" s="78">
        <f>I29*2</f>
        <v>32585.187272727275</v>
      </c>
      <c r="K29" s="96">
        <f>I29/I$45</f>
        <v>3.2626156013466261E-3</v>
      </c>
    </row>
    <row r="30" spans="1:13" ht="15.75" customHeight="1" x14ac:dyDescent="0.25">
      <c r="A30" s="246"/>
      <c r="B30" s="112" t="s">
        <v>241</v>
      </c>
      <c r="C30" s="76" t="s">
        <v>216</v>
      </c>
      <c r="D30" s="75">
        <f>Empilhadeira!C38</f>
        <v>196.58119658119659</v>
      </c>
      <c r="E30" s="76" t="s">
        <v>217</v>
      </c>
      <c r="F30" s="74">
        <v>2</v>
      </c>
      <c r="G30" s="75">
        <f>D30*F30</f>
        <v>393.16239316239319</v>
      </c>
      <c r="H30" s="74">
        <f>F30*12</f>
        <v>24</v>
      </c>
      <c r="I30" s="78">
        <f>G30*12</f>
        <v>4717.9487179487187</v>
      </c>
      <c r="J30" s="78">
        <f>I30*2</f>
        <v>9435.8974358974374</v>
      </c>
      <c r="K30" s="96">
        <f>I30/I$45</f>
        <v>9.4477610115907551E-4</v>
      </c>
    </row>
    <row r="31" spans="1:13" x14ac:dyDescent="0.25">
      <c r="A31" s="246"/>
      <c r="B31" s="112"/>
      <c r="C31" s="258" t="s">
        <v>140</v>
      </c>
      <c r="D31" s="259"/>
      <c r="E31" s="260"/>
      <c r="F31" s="85" t="s">
        <v>161</v>
      </c>
      <c r="G31" s="86">
        <f>SUM(G29:G30)</f>
        <v>1750.8785295260295</v>
      </c>
      <c r="H31" s="97" t="s">
        <v>161</v>
      </c>
      <c r="I31" s="86">
        <f>SUM(I29:I30)</f>
        <v>21010.542354312354</v>
      </c>
      <c r="J31" s="97">
        <f>SUM(J29:J30)</f>
        <v>42021.084708624709</v>
      </c>
      <c r="K31" s="96">
        <f>I31/I$45</f>
        <v>4.2073917025057007E-3</v>
      </c>
    </row>
    <row r="32" spans="1:13" x14ac:dyDescent="0.25">
      <c r="A32" s="246"/>
      <c r="B32" s="256" t="s">
        <v>225</v>
      </c>
      <c r="C32" s="273" t="s">
        <v>340</v>
      </c>
      <c r="D32" s="274"/>
      <c r="E32" s="274"/>
      <c r="F32" s="274"/>
      <c r="G32" s="274"/>
      <c r="H32" s="274"/>
      <c r="I32" s="274"/>
      <c r="J32" s="275"/>
    </row>
    <row r="33" spans="1:11" ht="24" x14ac:dyDescent="0.25">
      <c r="A33" s="246"/>
      <c r="B33" s="257"/>
      <c r="C33" s="77" t="s">
        <v>2</v>
      </c>
      <c r="D33" s="77" t="s">
        <v>159</v>
      </c>
      <c r="E33" s="77" t="s">
        <v>125</v>
      </c>
      <c r="F33" s="77" t="s">
        <v>160</v>
      </c>
      <c r="G33" s="77" t="s">
        <v>126</v>
      </c>
      <c r="H33" s="77" t="s">
        <v>218</v>
      </c>
      <c r="I33" s="77" t="s">
        <v>127</v>
      </c>
      <c r="J33" s="77" t="s">
        <v>603</v>
      </c>
    </row>
    <row r="34" spans="1:11" ht="24" x14ac:dyDescent="0.25">
      <c r="A34" s="246"/>
      <c r="B34" s="112" t="s">
        <v>346</v>
      </c>
      <c r="C34" s="88" t="s">
        <v>317</v>
      </c>
      <c r="D34" s="75">
        <f>'Inspeção Estruturas'!B31</f>
        <v>21230.76923076923</v>
      </c>
      <c r="E34" s="76" t="s">
        <v>341</v>
      </c>
      <c r="F34" s="88" t="s">
        <v>161</v>
      </c>
      <c r="G34" s="88" t="s">
        <v>161</v>
      </c>
      <c r="H34" s="88">
        <v>1</v>
      </c>
      <c r="I34" s="90">
        <f>H34*D34</f>
        <v>21230.76923076923</v>
      </c>
      <c r="J34" s="90">
        <f>I34*2</f>
        <v>42461.538461538461</v>
      </c>
      <c r="K34" s="96">
        <f>I34/I$45</f>
        <v>4.2514924552158389E-3</v>
      </c>
    </row>
    <row r="35" spans="1:11" ht="24" x14ac:dyDescent="0.25">
      <c r="A35" s="246"/>
      <c r="B35" s="112" t="s">
        <v>347</v>
      </c>
      <c r="C35" s="88" t="s">
        <v>316</v>
      </c>
      <c r="D35" s="75">
        <f>'Inspeção Estruturas'!B32</f>
        <v>21230.76923076923</v>
      </c>
      <c r="E35" s="76" t="s">
        <v>341</v>
      </c>
      <c r="F35" s="88" t="s">
        <v>161</v>
      </c>
      <c r="G35" s="88" t="s">
        <v>161</v>
      </c>
      <c r="H35" s="88">
        <v>2</v>
      </c>
      <c r="I35" s="90">
        <f>H35*D35</f>
        <v>42461.538461538461</v>
      </c>
      <c r="J35" s="90">
        <f>I35*2</f>
        <v>84923.076923076922</v>
      </c>
      <c r="K35" s="96">
        <f>I35/I$45</f>
        <v>8.5029849104316779E-3</v>
      </c>
    </row>
    <row r="36" spans="1:11" x14ac:dyDescent="0.25">
      <c r="A36" s="246"/>
      <c r="B36" s="112"/>
      <c r="C36" s="258" t="s">
        <v>140</v>
      </c>
      <c r="D36" s="259"/>
      <c r="E36" s="260"/>
      <c r="F36" s="85"/>
      <c r="G36" s="86"/>
      <c r="H36" s="101">
        <f>SUM(H34:H35)</f>
        <v>3</v>
      </c>
      <c r="I36" s="86">
        <f>SUM(I34:I35)</f>
        <v>63692.307692307688</v>
      </c>
      <c r="J36" s="97">
        <f>SUM(J34:J35)</f>
        <v>127384.61538461538</v>
      </c>
      <c r="K36" s="96">
        <f>I36/I$45</f>
        <v>1.2754477365647516E-2</v>
      </c>
    </row>
    <row r="37" spans="1:11" x14ac:dyDescent="0.25">
      <c r="A37" s="246"/>
      <c r="B37" s="256" t="s">
        <v>225</v>
      </c>
      <c r="C37" s="273" t="s">
        <v>342</v>
      </c>
      <c r="D37" s="274"/>
      <c r="E37" s="274"/>
      <c r="F37" s="274"/>
      <c r="G37" s="274"/>
      <c r="H37" s="274"/>
      <c r="I37" s="274"/>
      <c r="J37" s="275"/>
    </row>
    <row r="38" spans="1:11" ht="24" x14ac:dyDescent="0.25">
      <c r="A38" s="246"/>
      <c r="B38" s="257"/>
      <c r="C38" s="77" t="s">
        <v>2</v>
      </c>
      <c r="D38" s="77" t="s">
        <v>159</v>
      </c>
      <c r="E38" s="77" t="s">
        <v>125</v>
      </c>
      <c r="F38" s="77" t="s">
        <v>160</v>
      </c>
      <c r="G38" s="77" t="s">
        <v>126</v>
      </c>
      <c r="H38" s="77" t="s">
        <v>218</v>
      </c>
      <c r="I38" s="77" t="s">
        <v>127</v>
      </c>
      <c r="J38" s="77" t="s">
        <v>603</v>
      </c>
    </row>
    <row r="39" spans="1:11" ht="32.25" customHeight="1" x14ac:dyDescent="0.25">
      <c r="A39" s="246"/>
      <c r="B39" s="112" t="s">
        <v>242</v>
      </c>
      <c r="C39" s="98" t="s">
        <v>343</v>
      </c>
      <c r="D39" s="75">
        <f>'Implantação da Op.'!C14</f>
        <v>12228.254700854701</v>
      </c>
      <c r="E39" s="76" t="s">
        <v>344</v>
      </c>
      <c r="F39" s="88" t="s">
        <v>161</v>
      </c>
      <c r="G39" s="88" t="s">
        <v>161</v>
      </c>
      <c r="H39" s="88">
        <v>1</v>
      </c>
      <c r="I39" s="90">
        <f>H39*D39</f>
        <v>12228.254700854701</v>
      </c>
      <c r="J39" s="90">
        <f>I39</f>
        <v>12228.254700854701</v>
      </c>
      <c r="K39" s="96">
        <f>I39/I$45</f>
        <v>2.4487258109233256E-3</v>
      </c>
    </row>
    <row r="40" spans="1:11" x14ac:dyDescent="0.25">
      <c r="A40" s="246"/>
      <c r="B40" s="112"/>
      <c r="C40" s="258" t="s">
        <v>140</v>
      </c>
      <c r="D40" s="259"/>
      <c r="E40" s="260"/>
      <c r="F40" s="101"/>
      <c r="G40" s="102"/>
      <c r="H40" s="101">
        <v>1</v>
      </c>
      <c r="I40" s="102">
        <f>I39</f>
        <v>12228.254700854701</v>
      </c>
      <c r="J40" s="102">
        <f>I40</f>
        <v>12228.254700854701</v>
      </c>
      <c r="K40" s="96">
        <f>I40/I$45</f>
        <v>2.4487258109233256E-3</v>
      </c>
    </row>
    <row r="41" spans="1:11" x14ac:dyDescent="0.25">
      <c r="A41" s="246"/>
      <c r="B41" s="256" t="s">
        <v>225</v>
      </c>
      <c r="C41" s="273" t="s">
        <v>223</v>
      </c>
      <c r="D41" s="274"/>
      <c r="E41" s="274"/>
      <c r="F41" s="274"/>
      <c r="G41" s="274"/>
      <c r="H41" s="274"/>
      <c r="I41" s="274"/>
      <c r="J41" s="275"/>
    </row>
    <row r="42" spans="1:11" ht="24" x14ac:dyDescent="0.25">
      <c r="A42" s="246"/>
      <c r="B42" s="257"/>
      <c r="C42" s="77" t="s">
        <v>2</v>
      </c>
      <c r="D42" s="77" t="s">
        <v>159</v>
      </c>
      <c r="E42" s="77" t="s">
        <v>125</v>
      </c>
      <c r="F42" s="77" t="s">
        <v>160</v>
      </c>
      <c r="G42" s="77" t="s">
        <v>605</v>
      </c>
      <c r="H42" s="77" t="s">
        <v>218</v>
      </c>
      <c r="I42" s="77" t="s">
        <v>606</v>
      </c>
      <c r="J42" s="77" t="s">
        <v>603</v>
      </c>
    </row>
    <row r="43" spans="1:11" ht="66" customHeight="1" x14ac:dyDescent="0.25">
      <c r="A43" s="246"/>
      <c r="B43" s="112" t="s">
        <v>243</v>
      </c>
      <c r="C43" s="112" t="s">
        <v>348</v>
      </c>
      <c r="D43" s="75">
        <v>40000</v>
      </c>
      <c r="E43" s="76" t="s">
        <v>224</v>
      </c>
      <c r="F43" s="88">
        <v>1</v>
      </c>
      <c r="G43" s="89">
        <f>D43*F43</f>
        <v>40000</v>
      </c>
      <c r="H43" s="88">
        <v>12</v>
      </c>
      <c r="I43" s="90">
        <f>G43*12</f>
        <v>480000</v>
      </c>
      <c r="J43" s="90">
        <f>I43*2</f>
        <v>960000</v>
      </c>
      <c r="K43" s="96">
        <f>I43/I$45</f>
        <v>9.612069898748854E-2</v>
      </c>
    </row>
    <row r="44" spans="1:11" x14ac:dyDescent="0.25">
      <c r="A44" s="246"/>
      <c r="B44" s="112"/>
      <c r="C44" s="113"/>
      <c r="D44" s="114"/>
      <c r="E44" s="115"/>
      <c r="F44" s="101">
        <v>1</v>
      </c>
      <c r="G44" s="102">
        <f>G43</f>
        <v>40000</v>
      </c>
      <c r="H44" s="101">
        <v>12</v>
      </c>
      <c r="I44" s="102">
        <f>G44*12</f>
        <v>480000</v>
      </c>
      <c r="J44" s="102">
        <f>I44*2</f>
        <v>960000</v>
      </c>
      <c r="K44" s="96">
        <f>I44/I$45</f>
        <v>9.612069898748854E-2</v>
      </c>
    </row>
    <row r="45" spans="1:11" ht="40.5" customHeight="1" x14ac:dyDescent="0.25">
      <c r="B45" s="112"/>
      <c r="C45" s="261" t="s">
        <v>174</v>
      </c>
      <c r="D45" s="262"/>
      <c r="E45" s="263"/>
      <c r="F45" s="91" t="s">
        <v>161</v>
      </c>
      <c r="G45" s="92">
        <f>G18+G31+G25+G14+G36+G40+G44</f>
        <v>409816.74382189591</v>
      </c>
      <c r="H45" s="92" t="s">
        <v>161</v>
      </c>
      <c r="I45" s="92">
        <f>I14+I25+I31+I18+I36+I40+I44</f>
        <v>4993721.4882559143</v>
      </c>
      <c r="J45" s="92">
        <f>J14+J25+J31+J18+J36+J40+J44</f>
        <v>9975214.7218109742</v>
      </c>
      <c r="K45" s="96">
        <f>I45/I$45</f>
        <v>1</v>
      </c>
    </row>
    <row r="48" spans="1:11" ht="32.25" customHeight="1" x14ac:dyDescent="0.25">
      <c r="A48" s="250" t="s">
        <v>250</v>
      </c>
      <c r="B48" s="250"/>
      <c r="C48" s="250"/>
      <c r="D48" s="250"/>
      <c r="E48" s="250"/>
      <c r="F48" s="250"/>
      <c r="G48" s="250"/>
      <c r="H48" s="250"/>
    </row>
    <row r="49" spans="1:8" ht="48" customHeight="1" x14ac:dyDescent="0.25">
      <c r="A49" s="249" t="s">
        <v>640</v>
      </c>
      <c r="B49" s="249" t="s">
        <v>244</v>
      </c>
      <c r="C49" s="249" t="s">
        <v>248</v>
      </c>
      <c r="D49" s="249" t="s">
        <v>245</v>
      </c>
      <c r="E49" s="249" t="s">
        <v>249</v>
      </c>
      <c r="F49" s="249" t="s">
        <v>639</v>
      </c>
      <c r="G49" s="249" t="s">
        <v>246</v>
      </c>
      <c r="H49" s="247" t="s">
        <v>607</v>
      </c>
    </row>
    <row r="50" spans="1:8" x14ac:dyDescent="0.25">
      <c r="A50" s="249"/>
      <c r="B50" s="249"/>
      <c r="C50" s="249"/>
      <c r="D50" s="249"/>
      <c r="E50" s="249"/>
      <c r="F50" s="249"/>
      <c r="G50" s="249"/>
      <c r="H50" s="248"/>
    </row>
    <row r="51" spans="1:8" ht="50.25" customHeight="1" x14ac:dyDescent="0.25">
      <c r="A51" s="251">
        <v>1</v>
      </c>
      <c r="B51" s="170">
        <v>1</v>
      </c>
      <c r="C51" s="170" t="s">
        <v>632</v>
      </c>
      <c r="D51" s="170" t="s">
        <v>247</v>
      </c>
      <c r="E51" s="170" t="s">
        <v>630</v>
      </c>
      <c r="F51" s="171">
        <f>H51/24</f>
        <v>352480.00760006224</v>
      </c>
      <c r="G51" s="171">
        <f>I14+I18</f>
        <v>4229760.0912007466</v>
      </c>
      <c r="H51" s="171">
        <f>J14+J18</f>
        <v>8459520.1824014932</v>
      </c>
    </row>
    <row r="52" spans="1:8" ht="51" x14ac:dyDescent="0.25">
      <c r="A52" s="252"/>
      <c r="B52" s="170">
        <v>2</v>
      </c>
      <c r="C52" s="170" t="s">
        <v>635</v>
      </c>
      <c r="D52" s="170" t="s">
        <v>247</v>
      </c>
      <c r="E52" s="170" t="s">
        <v>631</v>
      </c>
      <c r="F52" s="171">
        <f>H52/24</f>
        <v>63153.939142061638</v>
      </c>
      <c r="G52" s="171">
        <f>I25+I31+I36+I40+I44</f>
        <v>763961.39705516701</v>
      </c>
      <c r="H52" s="171">
        <f>J25+J31+J36+J40+J44</f>
        <v>1515694.5394094794</v>
      </c>
    </row>
    <row r="53" spans="1:8" ht="35.25" customHeight="1" x14ac:dyDescent="0.25">
      <c r="A53" s="176"/>
      <c r="B53" s="176"/>
      <c r="C53" s="253" t="s">
        <v>157</v>
      </c>
      <c r="D53" s="254"/>
      <c r="E53" s="255"/>
      <c r="F53" s="117">
        <f>F52+F51</f>
        <v>415633.94674212387</v>
      </c>
      <c r="G53" s="117">
        <f>G52+G51</f>
        <v>4993721.4882559134</v>
      </c>
      <c r="H53" s="117">
        <f>H52+H51</f>
        <v>9975214.7218109723</v>
      </c>
    </row>
  </sheetData>
  <mergeCells count="41">
    <mergeCell ref="C2:J2"/>
    <mergeCell ref="C14:E14"/>
    <mergeCell ref="F25:F26"/>
    <mergeCell ref="H25:H26"/>
    <mergeCell ref="C3:J3"/>
    <mergeCell ref="C19:J19"/>
    <mergeCell ref="K25:K26"/>
    <mergeCell ref="C25:E26"/>
    <mergeCell ref="G25:G26"/>
    <mergeCell ref="I25:I26"/>
    <mergeCell ref="C40:E40"/>
    <mergeCell ref="J25:J26"/>
    <mergeCell ref="C27:J27"/>
    <mergeCell ref="C32:J32"/>
    <mergeCell ref="C37:J37"/>
    <mergeCell ref="A51:A52"/>
    <mergeCell ref="C53:E53"/>
    <mergeCell ref="B37:B38"/>
    <mergeCell ref="B41:B42"/>
    <mergeCell ref="B3:B4"/>
    <mergeCell ref="B19:B20"/>
    <mergeCell ref="B27:B28"/>
    <mergeCell ref="B15:B16"/>
    <mergeCell ref="B32:B33"/>
    <mergeCell ref="C31:E31"/>
    <mergeCell ref="C18:E18"/>
    <mergeCell ref="C45:E45"/>
    <mergeCell ref="C36:E36"/>
    <mergeCell ref="C15:J15"/>
    <mergeCell ref="C41:J41"/>
    <mergeCell ref="A3:A18"/>
    <mergeCell ref="A19:A44"/>
    <mergeCell ref="H49:H50"/>
    <mergeCell ref="F49:F50"/>
    <mergeCell ref="A49:A50"/>
    <mergeCell ref="A48:H48"/>
    <mergeCell ref="B49:B50"/>
    <mergeCell ref="D49:D50"/>
    <mergeCell ref="E49:E50"/>
    <mergeCell ref="C49:C50"/>
    <mergeCell ref="G49:G50"/>
  </mergeCells>
  <pageMargins left="0.511811024" right="0.511811024" top="0.78740157499999996" bottom="0.78740157499999996" header="0.31496062000000002" footer="0.31496062000000002"/>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7"/>
  <sheetViews>
    <sheetView workbookViewId="0">
      <selection activeCell="F5" sqref="F5"/>
    </sheetView>
  </sheetViews>
  <sheetFormatPr defaultRowHeight="15" x14ac:dyDescent="0.25"/>
  <cols>
    <col min="1" max="1" width="30.85546875" customWidth="1"/>
    <col min="2" max="2" width="28.42578125" customWidth="1"/>
    <col min="3" max="3" width="55.85546875" customWidth="1"/>
    <col min="4" max="4" width="23.5703125" customWidth="1"/>
    <col min="5" max="5" width="13.140625" customWidth="1"/>
    <col min="6" max="6" width="14.28515625" customWidth="1"/>
    <col min="7" max="7" width="12.7109375" customWidth="1"/>
  </cols>
  <sheetData>
    <row r="1" spans="1:5" x14ac:dyDescent="0.25">
      <c r="A1" s="280" t="s">
        <v>584</v>
      </c>
      <c r="B1" s="280"/>
      <c r="C1" s="280"/>
      <c r="D1" s="280"/>
      <c r="E1" s="280"/>
    </row>
    <row r="2" spans="1:5" ht="15.75" thickBot="1" x14ac:dyDescent="0.3"/>
    <row r="3" spans="1:5" ht="16.5" thickBot="1" x14ac:dyDescent="0.3">
      <c r="A3" s="286" t="s">
        <v>134</v>
      </c>
      <c r="B3" s="287"/>
      <c r="C3" s="287"/>
      <c r="D3" s="287"/>
      <c r="E3" s="288"/>
    </row>
    <row r="4" spans="1:5" s="83" customFormat="1" ht="16.5" thickBot="1" x14ac:dyDescent="0.3">
      <c r="A4" s="103" t="s">
        <v>111</v>
      </c>
      <c r="B4" s="10" t="s">
        <v>220</v>
      </c>
      <c r="C4" s="10" t="s">
        <v>135</v>
      </c>
      <c r="D4" s="10" t="s">
        <v>136</v>
      </c>
      <c r="E4" s="104" t="s">
        <v>12</v>
      </c>
    </row>
    <row r="5" spans="1:5" ht="16.5" thickBot="1" x14ac:dyDescent="0.3">
      <c r="A5" s="7" t="s">
        <v>272</v>
      </c>
      <c r="B5" s="8">
        <v>155.59</v>
      </c>
      <c r="C5" s="5">
        <v>1</v>
      </c>
      <c r="D5" s="5">
        <v>30</v>
      </c>
      <c r="E5" s="9">
        <f>B5*C5*D5</f>
        <v>4667.7</v>
      </c>
    </row>
    <row r="6" spans="1:5" ht="16.5" thickBot="1" x14ac:dyDescent="0.3">
      <c r="A6" s="107" t="s">
        <v>270</v>
      </c>
      <c r="B6" s="8">
        <v>155.59</v>
      </c>
      <c r="C6" s="5">
        <v>1</v>
      </c>
      <c r="D6" s="120">
        <v>5</v>
      </c>
      <c r="E6" s="9">
        <f t="shared" ref="E6:E7" si="0">B6*C6*D6</f>
        <v>777.95</v>
      </c>
    </row>
    <row r="7" spans="1:5" ht="15.75" x14ac:dyDescent="0.25">
      <c r="A7" s="107" t="s">
        <v>271</v>
      </c>
      <c r="B7" s="8">
        <v>155.59</v>
      </c>
      <c r="C7" s="5">
        <v>1</v>
      </c>
      <c r="D7" s="120">
        <v>7</v>
      </c>
      <c r="E7" s="9">
        <f t="shared" si="0"/>
        <v>1089.1300000000001</v>
      </c>
    </row>
    <row r="8" spans="1:5" x14ac:dyDescent="0.25">
      <c r="A8" s="105"/>
      <c r="B8" s="105"/>
      <c r="C8" s="105"/>
      <c r="D8" s="105"/>
      <c r="E8" s="105"/>
    </row>
    <row r="9" spans="1:5" ht="16.5" thickBot="1" x14ac:dyDescent="0.3">
      <c r="A9" s="292" t="s">
        <v>14</v>
      </c>
      <c r="B9" s="293"/>
      <c r="C9" s="293"/>
      <c r="D9" s="293"/>
      <c r="E9" s="294"/>
    </row>
    <row r="10" spans="1:5" ht="32.25" thickBot="1" x14ac:dyDescent="0.3">
      <c r="A10" s="2" t="s">
        <v>111</v>
      </c>
      <c r="B10" s="3" t="s">
        <v>10</v>
      </c>
      <c r="C10" s="3" t="s">
        <v>11</v>
      </c>
      <c r="D10" s="10" t="s">
        <v>13</v>
      </c>
      <c r="E10" s="4" t="s">
        <v>12</v>
      </c>
    </row>
    <row r="11" spans="1:5" ht="15.75" x14ac:dyDescent="0.25">
      <c r="A11" s="7" t="s">
        <v>268</v>
      </c>
      <c r="B11" s="8">
        <v>5.2</v>
      </c>
      <c r="C11" s="5">
        <v>2</v>
      </c>
      <c r="D11" s="5">
        <v>22</v>
      </c>
      <c r="E11" s="9">
        <f t="shared" ref="E11" si="1">B11*C11*D11</f>
        <v>228.8</v>
      </c>
    </row>
    <row r="12" spans="1:5" ht="15.75" thickBot="1" x14ac:dyDescent="0.3">
      <c r="A12" s="44"/>
      <c r="B12" s="45"/>
      <c r="C12" s="45"/>
      <c r="D12" s="45"/>
      <c r="E12" s="46"/>
    </row>
    <row r="13" spans="1:5" ht="16.5" thickBot="1" x14ac:dyDescent="0.3">
      <c r="A13" s="286" t="s">
        <v>18</v>
      </c>
      <c r="B13" s="287"/>
      <c r="C13" s="287"/>
      <c r="D13" s="287"/>
      <c r="E13" s="288"/>
    </row>
    <row r="14" spans="1:5" ht="15.75" x14ac:dyDescent="0.25">
      <c r="A14" s="2" t="s">
        <v>2</v>
      </c>
      <c r="B14" s="3" t="s">
        <v>0</v>
      </c>
      <c r="C14" s="3" t="s">
        <v>15</v>
      </c>
      <c r="D14" s="3" t="s">
        <v>1</v>
      </c>
      <c r="E14" s="4" t="s">
        <v>16</v>
      </c>
    </row>
    <row r="15" spans="1:5" ht="15.75" x14ac:dyDescent="0.25">
      <c r="A15" s="107" t="s">
        <v>141</v>
      </c>
      <c r="B15" s="108">
        <f>'Téc. Manutenção'!C10</f>
        <v>1912.33</v>
      </c>
      <c r="C15" s="109">
        <v>1</v>
      </c>
      <c r="D15" s="109">
        <v>0.06</v>
      </c>
      <c r="E15" s="110">
        <f t="shared" ref="E15:E17" si="2">B15*C15*D15</f>
        <v>114.73979999999999</v>
      </c>
    </row>
    <row r="16" spans="1:5" ht="15.75" x14ac:dyDescent="0.25">
      <c r="A16" s="88" t="s">
        <v>264</v>
      </c>
      <c r="B16" s="108">
        <f>'Aux. Operações Campo'!C10</f>
        <v>1239.8</v>
      </c>
      <c r="C16" s="109">
        <v>1</v>
      </c>
      <c r="D16" s="109">
        <v>0.06</v>
      </c>
      <c r="E16" s="110">
        <f t="shared" si="2"/>
        <v>74.387999999999991</v>
      </c>
    </row>
    <row r="17" spans="1:6" ht="15.75" x14ac:dyDescent="0.25">
      <c r="A17" s="88" t="s">
        <v>266</v>
      </c>
      <c r="B17" s="82">
        <f>Encarregados!C17</f>
        <v>3037.75</v>
      </c>
      <c r="C17" s="109">
        <v>1</v>
      </c>
      <c r="D17" s="109">
        <v>0.06</v>
      </c>
      <c r="E17" s="110">
        <f t="shared" si="2"/>
        <v>182.26499999999999</v>
      </c>
    </row>
    <row r="18" spans="1:6" ht="16.5" thickBot="1" x14ac:dyDescent="0.3">
      <c r="A18" s="295" t="s">
        <v>20</v>
      </c>
      <c r="B18" s="296"/>
      <c r="C18" s="296"/>
      <c r="D18" s="297"/>
      <c r="E18" s="46"/>
    </row>
    <row r="19" spans="1:6" ht="16.5" thickBot="1" x14ac:dyDescent="0.3">
      <c r="A19" s="2" t="s">
        <v>2</v>
      </c>
      <c r="B19" s="3" t="s">
        <v>12</v>
      </c>
      <c r="C19" s="3" t="s">
        <v>17</v>
      </c>
      <c r="D19" s="4" t="s">
        <v>19</v>
      </c>
      <c r="E19" s="46"/>
    </row>
    <row r="20" spans="1:6" ht="16.5" thickBot="1" x14ac:dyDescent="0.3">
      <c r="A20" s="107" t="s">
        <v>141</v>
      </c>
      <c r="B20" s="108">
        <f>E11</f>
        <v>228.8</v>
      </c>
      <c r="C20" s="108">
        <f>E15</f>
        <v>114.73979999999999</v>
      </c>
      <c r="D20" s="110">
        <f>B20-C20</f>
        <v>114.06020000000002</v>
      </c>
      <c r="E20" s="47"/>
      <c r="F20" s="48"/>
    </row>
    <row r="21" spans="1:6" ht="15.75" x14ac:dyDescent="0.25">
      <c r="A21" s="88" t="s">
        <v>264</v>
      </c>
      <c r="B21" s="108">
        <f>E11</f>
        <v>228.8</v>
      </c>
      <c r="C21" s="108">
        <f>E16</f>
        <v>74.387999999999991</v>
      </c>
      <c r="D21" s="110">
        <f>B21-C21</f>
        <v>154.41200000000003</v>
      </c>
    </row>
    <row r="22" spans="1:6" ht="15.75" x14ac:dyDescent="0.25">
      <c r="A22" s="88" t="s">
        <v>266</v>
      </c>
      <c r="B22" s="108">
        <f>E11</f>
        <v>228.8</v>
      </c>
      <c r="C22" s="108">
        <f>E17</f>
        <v>182.26499999999999</v>
      </c>
      <c r="D22" s="110">
        <f>B22-C22</f>
        <v>46.535000000000025</v>
      </c>
    </row>
    <row r="23" spans="1:6" ht="16.5" thickBot="1" x14ac:dyDescent="0.3">
      <c r="A23" s="295" t="s">
        <v>21</v>
      </c>
      <c r="B23" s="296"/>
      <c r="C23" s="296"/>
      <c r="D23" s="297"/>
    </row>
    <row r="24" spans="1:6" ht="16.5" thickBot="1" x14ac:dyDescent="0.3">
      <c r="A24" s="38" t="s">
        <v>2</v>
      </c>
      <c r="B24" s="39" t="s">
        <v>22</v>
      </c>
      <c r="C24" s="1" t="s">
        <v>13</v>
      </c>
      <c r="D24" s="40" t="s">
        <v>3</v>
      </c>
    </row>
    <row r="25" spans="1:6" ht="16.5" thickBot="1" x14ac:dyDescent="0.3">
      <c r="A25" s="107" t="s">
        <v>267</v>
      </c>
      <c r="B25" s="108">
        <v>17.690000000000001</v>
      </c>
      <c r="C25" s="120">
        <v>22</v>
      </c>
      <c r="D25" s="9">
        <f>B25*C25</f>
        <v>389.18</v>
      </c>
    </row>
    <row r="26" spans="1:6" ht="16.5" thickBot="1" x14ac:dyDescent="0.3">
      <c r="A26" s="107" t="s">
        <v>253</v>
      </c>
      <c r="B26" s="108">
        <v>28.87</v>
      </c>
      <c r="C26" s="120">
        <v>22</v>
      </c>
      <c r="D26" s="9">
        <f>B26*C26</f>
        <v>635.14</v>
      </c>
    </row>
    <row r="27" spans="1:6" ht="16.5" thickBot="1" x14ac:dyDescent="0.3">
      <c r="A27" s="295" t="s">
        <v>132</v>
      </c>
      <c r="B27" s="296"/>
      <c r="C27" s="296"/>
      <c r="D27" s="298"/>
    </row>
    <row r="28" spans="1:6" ht="16.5" thickBot="1" x14ac:dyDescent="0.3">
      <c r="A28" s="38" t="s">
        <v>2</v>
      </c>
      <c r="B28" s="39" t="s">
        <v>133</v>
      </c>
      <c r="C28" s="1" t="s">
        <v>13</v>
      </c>
      <c r="D28" s="40" t="s">
        <v>3</v>
      </c>
    </row>
    <row r="29" spans="1:6" ht="15.75" x14ac:dyDescent="0.25">
      <c r="A29" s="107" t="s">
        <v>267</v>
      </c>
      <c r="B29" s="8">
        <v>129.72999999999999</v>
      </c>
      <c r="C29" s="5"/>
      <c r="D29" s="9">
        <f>B29</f>
        <v>129.72999999999999</v>
      </c>
    </row>
    <row r="30" spans="1:6" ht="15.75" thickBot="1" x14ac:dyDescent="0.3"/>
    <row r="31" spans="1:6" ht="16.5" thickBot="1" x14ac:dyDescent="0.3">
      <c r="A31" s="289" t="s">
        <v>29</v>
      </c>
      <c r="B31" s="290"/>
      <c r="C31" s="290"/>
      <c r="D31" s="291"/>
    </row>
    <row r="32" spans="1:6" ht="16.5" thickBot="1" x14ac:dyDescent="0.3">
      <c r="A32" s="11" t="s">
        <v>30</v>
      </c>
      <c r="B32" s="12" t="s">
        <v>31</v>
      </c>
      <c r="C32" s="12" t="s">
        <v>32</v>
      </c>
      <c r="D32" s="37" t="s">
        <v>3</v>
      </c>
    </row>
    <row r="33" spans="1:7" ht="16.5" thickBot="1" x14ac:dyDescent="0.3">
      <c r="A33" s="13" t="s">
        <v>33</v>
      </c>
      <c r="B33" s="14">
        <v>2</v>
      </c>
      <c r="C33" s="164">
        <f>((47.9+65+29.9)/3)*2</f>
        <v>95.2</v>
      </c>
      <c r="D33" s="15">
        <f>C33*B33</f>
        <v>190.4</v>
      </c>
    </row>
    <row r="34" spans="1:7" ht="16.5" thickBot="1" x14ac:dyDescent="0.3">
      <c r="A34" s="16" t="s">
        <v>34</v>
      </c>
      <c r="B34" s="17">
        <v>4</v>
      </c>
      <c r="C34" s="164">
        <f>((46.9+98+56.9)/3)*2</f>
        <v>134.53333333333333</v>
      </c>
      <c r="D34" s="15">
        <f t="shared" ref="D34:D38" si="3">C34*B34</f>
        <v>538.13333333333333</v>
      </c>
    </row>
    <row r="35" spans="1:7" ht="16.5" thickBot="1" x14ac:dyDescent="0.3">
      <c r="A35" s="16" t="s">
        <v>35</v>
      </c>
      <c r="B35" s="17">
        <v>1</v>
      </c>
      <c r="C35" s="164">
        <f>((69.9+80.99+89.99)/3)*2</f>
        <v>160.58666666666667</v>
      </c>
      <c r="D35" s="15">
        <f t="shared" si="3"/>
        <v>160.58666666666667</v>
      </c>
    </row>
    <row r="36" spans="1:7" ht="16.5" thickBot="1" x14ac:dyDescent="0.3">
      <c r="A36" s="16" t="s">
        <v>196</v>
      </c>
      <c r="B36" s="17">
        <v>3</v>
      </c>
      <c r="C36" s="164">
        <f>(5.5)*2</f>
        <v>11</v>
      </c>
      <c r="D36" s="15">
        <f t="shared" si="3"/>
        <v>33</v>
      </c>
    </row>
    <row r="37" spans="1:7" ht="16.5" thickBot="1" x14ac:dyDescent="0.3">
      <c r="A37" s="16" t="s">
        <v>197</v>
      </c>
      <c r="B37" s="17">
        <v>1</v>
      </c>
      <c r="C37" s="164">
        <f>((88.9+95+89.9)/3)*1</f>
        <v>91.266666666666666</v>
      </c>
      <c r="D37" s="15">
        <f t="shared" si="3"/>
        <v>91.266666666666666</v>
      </c>
    </row>
    <row r="38" spans="1:7" ht="16.5" thickBot="1" x14ac:dyDescent="0.3">
      <c r="A38" s="16" t="s">
        <v>123</v>
      </c>
      <c r="B38" s="17">
        <v>1</v>
      </c>
      <c r="C38" s="164">
        <f>(15)*2</f>
        <v>30</v>
      </c>
      <c r="D38" s="15">
        <f t="shared" si="3"/>
        <v>30</v>
      </c>
    </row>
    <row r="39" spans="1:7" ht="16.5" thickBot="1" x14ac:dyDescent="0.3">
      <c r="A39" s="289" t="s">
        <v>36</v>
      </c>
      <c r="B39" s="290"/>
      <c r="C39" s="291"/>
      <c r="D39" s="18"/>
    </row>
    <row r="40" spans="1:7" ht="16.5" thickBot="1" x14ac:dyDescent="0.3">
      <c r="A40" s="289" t="s">
        <v>37</v>
      </c>
      <c r="B40" s="290"/>
      <c r="C40" s="291"/>
      <c r="D40" s="20"/>
    </row>
    <row r="41" spans="1:7" ht="16.5" thickBot="1" x14ac:dyDescent="0.3">
      <c r="A41" s="21" t="s">
        <v>2</v>
      </c>
      <c r="B41" s="22" t="s">
        <v>23</v>
      </c>
      <c r="C41" s="23" t="s">
        <v>38</v>
      </c>
      <c r="D41" s="20"/>
    </row>
    <row r="42" spans="1:7" ht="15.75" x14ac:dyDescent="0.25">
      <c r="A42" s="7"/>
      <c r="B42" s="24">
        <f>SUM(D33:D38)</f>
        <v>1043.3866666666668</v>
      </c>
      <c r="C42" s="25">
        <f>B42/12</f>
        <v>86.948888888888902</v>
      </c>
      <c r="D42" s="19"/>
    </row>
    <row r="43" spans="1:7" ht="15.75" x14ac:dyDescent="0.25">
      <c r="A43" s="79"/>
      <c r="B43" s="93"/>
      <c r="C43" s="94"/>
      <c r="D43" s="19"/>
    </row>
    <row r="44" spans="1:7" ht="15.75" x14ac:dyDescent="0.25">
      <c r="A44" s="281" t="s">
        <v>585</v>
      </c>
      <c r="B44" s="281"/>
      <c r="C44" s="281"/>
      <c r="D44" s="281"/>
      <c r="E44" s="281"/>
      <c r="F44" s="281"/>
      <c r="G44" s="281"/>
    </row>
    <row r="45" spans="1:7" ht="15.75" x14ac:dyDescent="0.25">
      <c r="A45" s="79"/>
      <c r="B45" s="93"/>
      <c r="C45" s="94"/>
      <c r="D45" s="19"/>
    </row>
    <row r="46" spans="1:7" x14ac:dyDescent="0.25">
      <c r="A46" s="284" t="s">
        <v>512</v>
      </c>
      <c r="B46" s="284"/>
      <c r="C46" s="284"/>
      <c r="D46" s="284"/>
      <c r="E46" s="284"/>
      <c r="F46" s="284"/>
      <c r="G46" s="284"/>
    </row>
    <row r="47" spans="1:7" ht="30" x14ac:dyDescent="0.25">
      <c r="A47" s="84" t="s">
        <v>30</v>
      </c>
      <c r="B47" s="156" t="s">
        <v>510</v>
      </c>
      <c r="C47" s="84" t="s">
        <v>172</v>
      </c>
      <c r="D47" s="84" t="s">
        <v>175</v>
      </c>
      <c r="E47" s="84" t="s">
        <v>177</v>
      </c>
      <c r="F47" s="84" t="s">
        <v>176</v>
      </c>
      <c r="G47" s="84" t="s">
        <v>178</v>
      </c>
    </row>
    <row r="48" spans="1:7" ht="30" customHeight="1" x14ac:dyDescent="0.25">
      <c r="A48" s="246" t="s">
        <v>507</v>
      </c>
      <c r="B48" s="95" t="s">
        <v>413</v>
      </c>
      <c r="C48" s="84" t="s">
        <v>349</v>
      </c>
      <c r="D48" s="84" t="s">
        <v>175</v>
      </c>
      <c r="E48" s="84">
        <v>2</v>
      </c>
      <c r="F48" s="159">
        <v>59.205000000000005</v>
      </c>
      <c r="G48" s="157">
        <f>F48*E48</f>
        <v>118.41000000000001</v>
      </c>
    </row>
    <row r="49" spans="1:7" ht="45" x14ac:dyDescent="0.25">
      <c r="A49" s="246"/>
      <c r="B49" s="95" t="s">
        <v>179</v>
      </c>
      <c r="C49" s="84" t="s">
        <v>350</v>
      </c>
      <c r="D49" s="84" t="s">
        <v>175</v>
      </c>
      <c r="E49" s="84">
        <v>1</v>
      </c>
      <c r="F49" s="159">
        <v>56.940000000000005</v>
      </c>
      <c r="G49" s="157">
        <f t="shared" ref="G49:G93" si="4">F49*E49</f>
        <v>56.940000000000005</v>
      </c>
    </row>
    <row r="50" spans="1:7" x14ac:dyDescent="0.25">
      <c r="A50" s="246"/>
      <c r="B50" s="95" t="s">
        <v>414</v>
      </c>
      <c r="C50" s="84" t="s">
        <v>351</v>
      </c>
      <c r="D50" s="84" t="s">
        <v>175</v>
      </c>
      <c r="E50" s="84">
        <v>2</v>
      </c>
      <c r="F50" s="159">
        <v>60.395000000000003</v>
      </c>
      <c r="G50" s="157">
        <f t="shared" si="4"/>
        <v>120.79</v>
      </c>
    </row>
    <row r="51" spans="1:7" ht="60" x14ac:dyDescent="0.25">
      <c r="A51" s="246"/>
      <c r="B51" s="95" t="s">
        <v>415</v>
      </c>
      <c r="C51" s="84" t="s">
        <v>352</v>
      </c>
      <c r="D51" s="84" t="s">
        <v>175</v>
      </c>
      <c r="E51" s="84">
        <v>1</v>
      </c>
      <c r="F51" s="159">
        <v>143.495</v>
      </c>
      <c r="G51" s="157">
        <f t="shared" si="4"/>
        <v>143.495</v>
      </c>
    </row>
    <row r="52" spans="1:7" ht="30" x14ac:dyDescent="0.25">
      <c r="A52" s="246"/>
      <c r="B52" s="95" t="s">
        <v>416</v>
      </c>
      <c r="C52" s="84" t="s">
        <v>353</v>
      </c>
      <c r="D52" s="84" t="s">
        <v>175</v>
      </c>
      <c r="E52" s="84">
        <v>2</v>
      </c>
      <c r="F52" s="159">
        <v>60.802500000000002</v>
      </c>
      <c r="G52" s="157">
        <f t="shared" si="4"/>
        <v>121.605</v>
      </c>
    </row>
    <row r="53" spans="1:7" x14ac:dyDescent="0.25">
      <c r="A53" s="246"/>
      <c r="B53" s="95" t="s">
        <v>180</v>
      </c>
      <c r="C53" s="84" t="s">
        <v>354</v>
      </c>
      <c r="D53" s="84" t="s">
        <v>175</v>
      </c>
      <c r="E53" s="84">
        <v>2</v>
      </c>
      <c r="F53" s="159">
        <v>61.522500000000001</v>
      </c>
      <c r="G53" s="157">
        <f t="shared" si="4"/>
        <v>123.045</v>
      </c>
    </row>
    <row r="54" spans="1:7" ht="45" x14ac:dyDescent="0.25">
      <c r="A54" s="246"/>
      <c r="B54" s="95" t="s">
        <v>417</v>
      </c>
      <c r="C54" s="84" t="s">
        <v>355</v>
      </c>
      <c r="D54" s="84" t="s">
        <v>175</v>
      </c>
      <c r="E54" s="84">
        <v>1</v>
      </c>
      <c r="F54" s="159">
        <v>134.99</v>
      </c>
      <c r="G54" s="157">
        <f t="shared" si="4"/>
        <v>134.99</v>
      </c>
    </row>
    <row r="55" spans="1:7" ht="30" x14ac:dyDescent="0.25">
      <c r="A55" s="246"/>
      <c r="B55" s="95" t="s">
        <v>181</v>
      </c>
      <c r="C55" s="84" t="s">
        <v>356</v>
      </c>
      <c r="D55" s="84" t="s">
        <v>175</v>
      </c>
      <c r="E55" s="84">
        <v>1</v>
      </c>
      <c r="F55" s="159">
        <v>141.67499999999998</v>
      </c>
      <c r="G55" s="157">
        <f t="shared" si="4"/>
        <v>141.67499999999998</v>
      </c>
    </row>
    <row r="56" spans="1:7" ht="30" x14ac:dyDescent="0.25">
      <c r="A56" s="246"/>
      <c r="B56" s="95" t="s">
        <v>182</v>
      </c>
      <c r="C56" s="84" t="s">
        <v>357</v>
      </c>
      <c r="D56" s="84" t="s">
        <v>175</v>
      </c>
      <c r="E56" s="84">
        <v>1</v>
      </c>
      <c r="F56" s="159">
        <v>70.23</v>
      </c>
      <c r="G56" s="157">
        <f t="shared" si="4"/>
        <v>70.23</v>
      </c>
    </row>
    <row r="57" spans="1:7" ht="45" x14ac:dyDescent="0.25">
      <c r="A57" s="246"/>
      <c r="B57" s="95" t="s">
        <v>418</v>
      </c>
      <c r="C57" s="84" t="s">
        <v>358</v>
      </c>
      <c r="D57" s="84" t="s">
        <v>175</v>
      </c>
      <c r="E57" s="84">
        <v>1</v>
      </c>
      <c r="F57" s="159">
        <v>82.997500000000002</v>
      </c>
      <c r="G57" s="157">
        <f t="shared" si="4"/>
        <v>82.997500000000002</v>
      </c>
    </row>
    <row r="58" spans="1:7" x14ac:dyDescent="0.25">
      <c r="A58" s="246"/>
      <c r="B58" s="95" t="s">
        <v>419</v>
      </c>
      <c r="C58" s="84" t="s">
        <v>359</v>
      </c>
      <c r="D58" s="84" t="s">
        <v>175</v>
      </c>
      <c r="E58" s="84">
        <v>1</v>
      </c>
      <c r="F58" s="159">
        <v>986.3</v>
      </c>
      <c r="G58" s="157">
        <f t="shared" si="4"/>
        <v>986.3</v>
      </c>
    </row>
    <row r="59" spans="1:7" x14ac:dyDescent="0.25">
      <c r="A59" s="246"/>
      <c r="B59" s="95" t="s">
        <v>420</v>
      </c>
      <c r="C59" s="84" t="s">
        <v>360</v>
      </c>
      <c r="D59" s="84" t="s">
        <v>175</v>
      </c>
      <c r="E59" s="84">
        <v>2</v>
      </c>
      <c r="F59" s="159">
        <v>26.4</v>
      </c>
      <c r="G59" s="157">
        <f t="shared" si="4"/>
        <v>52.8</v>
      </c>
    </row>
    <row r="60" spans="1:7" x14ac:dyDescent="0.25">
      <c r="A60" s="246"/>
      <c r="B60" s="95" t="s">
        <v>421</v>
      </c>
      <c r="C60" s="84" t="s">
        <v>361</v>
      </c>
      <c r="D60" s="84" t="s">
        <v>175</v>
      </c>
      <c r="E60" s="84">
        <v>2</v>
      </c>
      <c r="F60" s="159">
        <v>6.625</v>
      </c>
      <c r="G60" s="157">
        <f t="shared" si="4"/>
        <v>13.25</v>
      </c>
    </row>
    <row r="61" spans="1:7" x14ac:dyDescent="0.25">
      <c r="A61" s="246"/>
      <c r="B61" s="95" t="s">
        <v>421</v>
      </c>
      <c r="C61" s="84" t="s">
        <v>361</v>
      </c>
      <c r="D61" s="84" t="s">
        <v>175</v>
      </c>
      <c r="E61" s="84">
        <v>2</v>
      </c>
      <c r="F61" s="159">
        <v>13.29</v>
      </c>
      <c r="G61" s="157">
        <f t="shared" si="4"/>
        <v>26.58</v>
      </c>
    </row>
    <row r="62" spans="1:7" x14ac:dyDescent="0.25">
      <c r="A62" s="246"/>
      <c r="B62" s="95" t="s">
        <v>422</v>
      </c>
      <c r="C62" s="84" t="s">
        <v>362</v>
      </c>
      <c r="D62" s="84" t="s">
        <v>175</v>
      </c>
      <c r="E62" s="84">
        <v>2</v>
      </c>
      <c r="F62" s="159">
        <v>6.067499999999999</v>
      </c>
      <c r="G62" s="157">
        <f t="shared" si="4"/>
        <v>12.134999999999998</v>
      </c>
    </row>
    <row r="63" spans="1:7" x14ac:dyDescent="0.25">
      <c r="A63" s="246"/>
      <c r="B63" s="95" t="s">
        <v>423</v>
      </c>
      <c r="C63" s="84" t="s">
        <v>363</v>
      </c>
      <c r="D63" s="84" t="s">
        <v>175</v>
      </c>
      <c r="E63" s="84">
        <v>2</v>
      </c>
      <c r="F63" s="159">
        <v>11.0825</v>
      </c>
      <c r="G63" s="157">
        <f t="shared" si="4"/>
        <v>22.164999999999999</v>
      </c>
    </row>
    <row r="64" spans="1:7" ht="60" x14ac:dyDescent="0.25">
      <c r="A64" s="246"/>
      <c r="B64" s="95" t="s">
        <v>424</v>
      </c>
      <c r="C64" s="84" t="s">
        <v>364</v>
      </c>
      <c r="D64" s="84" t="s">
        <v>393</v>
      </c>
      <c r="E64" s="84">
        <v>1</v>
      </c>
      <c r="F64" s="159">
        <v>106.59</v>
      </c>
      <c r="G64" s="157">
        <f t="shared" si="4"/>
        <v>106.59</v>
      </c>
    </row>
    <row r="65" spans="1:7" x14ac:dyDescent="0.25">
      <c r="A65" s="246"/>
      <c r="B65" s="95" t="s">
        <v>425</v>
      </c>
      <c r="C65" s="84" t="s">
        <v>365</v>
      </c>
      <c r="D65" s="84" t="s">
        <v>175</v>
      </c>
      <c r="E65" s="84">
        <v>1</v>
      </c>
      <c r="F65" s="159">
        <v>70.047499999999999</v>
      </c>
      <c r="G65" s="157">
        <f t="shared" si="4"/>
        <v>70.047499999999999</v>
      </c>
    </row>
    <row r="66" spans="1:7" ht="30" x14ac:dyDescent="0.25">
      <c r="A66" s="246"/>
      <c r="B66" s="95" t="s">
        <v>426</v>
      </c>
      <c r="C66" s="84" t="s">
        <v>366</v>
      </c>
      <c r="D66" s="84" t="s">
        <v>175</v>
      </c>
      <c r="E66" s="84">
        <v>1</v>
      </c>
      <c r="F66" s="159">
        <v>885.70499999999993</v>
      </c>
      <c r="G66" s="157">
        <f t="shared" si="4"/>
        <v>885.70499999999993</v>
      </c>
    </row>
    <row r="67" spans="1:7" ht="30" x14ac:dyDescent="0.25">
      <c r="A67" s="246"/>
      <c r="B67" s="95" t="s">
        <v>367</v>
      </c>
      <c r="C67" s="84" t="s">
        <v>367</v>
      </c>
      <c r="D67" s="84" t="s">
        <v>175</v>
      </c>
      <c r="E67" s="84">
        <v>1</v>
      </c>
      <c r="F67" s="159">
        <v>328.61</v>
      </c>
      <c r="G67" s="157">
        <f t="shared" si="4"/>
        <v>328.61</v>
      </c>
    </row>
    <row r="68" spans="1:7" ht="30" x14ac:dyDescent="0.25">
      <c r="A68" s="246"/>
      <c r="B68" s="95" t="s">
        <v>427</v>
      </c>
      <c r="C68" s="84" t="s">
        <v>368</v>
      </c>
      <c r="D68" s="84" t="s">
        <v>175</v>
      </c>
      <c r="E68" s="84">
        <v>1</v>
      </c>
      <c r="F68" s="159">
        <v>50.922499999999999</v>
      </c>
      <c r="G68" s="157">
        <f t="shared" si="4"/>
        <v>50.922499999999999</v>
      </c>
    </row>
    <row r="69" spans="1:7" x14ac:dyDescent="0.25">
      <c r="A69" s="246"/>
      <c r="B69" s="95" t="s">
        <v>428</v>
      </c>
      <c r="C69" s="84" t="s">
        <v>369</v>
      </c>
      <c r="D69" s="84" t="s">
        <v>175</v>
      </c>
      <c r="E69" s="84">
        <v>1</v>
      </c>
      <c r="F69" s="159">
        <v>81.912499999999994</v>
      </c>
      <c r="G69" s="157">
        <f t="shared" si="4"/>
        <v>81.912499999999994</v>
      </c>
    </row>
    <row r="70" spans="1:7" ht="45" x14ac:dyDescent="0.25">
      <c r="A70" s="246"/>
      <c r="B70" s="95" t="s">
        <v>429</v>
      </c>
      <c r="C70" s="84" t="s">
        <v>370</v>
      </c>
      <c r="D70" s="84" t="s">
        <v>175</v>
      </c>
      <c r="E70" s="84">
        <v>1</v>
      </c>
      <c r="F70" s="159">
        <v>394.29750000000001</v>
      </c>
      <c r="G70" s="157">
        <f t="shared" si="4"/>
        <v>394.29750000000001</v>
      </c>
    </row>
    <row r="71" spans="1:7" ht="30" x14ac:dyDescent="0.25">
      <c r="A71" s="246"/>
      <c r="B71" s="95" t="s">
        <v>430</v>
      </c>
      <c r="C71" s="84" t="s">
        <v>371</v>
      </c>
      <c r="D71" s="84" t="s">
        <v>175</v>
      </c>
      <c r="E71" s="84">
        <v>1</v>
      </c>
      <c r="F71" s="159">
        <v>309.85000000000002</v>
      </c>
      <c r="G71" s="157">
        <f t="shared" si="4"/>
        <v>309.85000000000002</v>
      </c>
    </row>
    <row r="72" spans="1:7" x14ac:dyDescent="0.25">
      <c r="A72" s="246"/>
      <c r="B72" s="95" t="s">
        <v>431</v>
      </c>
      <c r="C72" s="84" t="s">
        <v>372</v>
      </c>
      <c r="D72" s="84" t="s">
        <v>175</v>
      </c>
      <c r="E72" s="84">
        <v>1</v>
      </c>
      <c r="F72" s="159">
        <v>36.9</v>
      </c>
      <c r="G72" s="157">
        <f t="shared" si="4"/>
        <v>36.9</v>
      </c>
    </row>
    <row r="73" spans="1:7" ht="30" x14ac:dyDescent="0.25">
      <c r="A73" s="246"/>
      <c r="B73" s="95" t="s">
        <v>432</v>
      </c>
      <c r="C73" s="84" t="s">
        <v>373</v>
      </c>
      <c r="D73" s="84" t="s">
        <v>175</v>
      </c>
      <c r="E73" s="84">
        <v>1</v>
      </c>
      <c r="F73" s="159">
        <v>267.01249999999999</v>
      </c>
      <c r="G73" s="157">
        <f t="shared" si="4"/>
        <v>267.01249999999999</v>
      </c>
    </row>
    <row r="74" spans="1:7" ht="30" x14ac:dyDescent="0.25">
      <c r="A74" s="246"/>
      <c r="B74" s="95" t="s">
        <v>433</v>
      </c>
      <c r="C74" s="84" t="s">
        <v>374</v>
      </c>
      <c r="D74" s="84" t="s">
        <v>394</v>
      </c>
      <c r="E74" s="84">
        <v>1</v>
      </c>
      <c r="F74" s="159">
        <v>29.922499999999999</v>
      </c>
      <c r="G74" s="157">
        <f t="shared" si="4"/>
        <v>29.922499999999999</v>
      </c>
    </row>
    <row r="75" spans="1:7" ht="30" x14ac:dyDescent="0.25">
      <c r="A75" s="246"/>
      <c r="B75" s="95" t="s">
        <v>434</v>
      </c>
      <c r="C75" s="84" t="s">
        <v>375</v>
      </c>
      <c r="D75" s="84" t="s">
        <v>175</v>
      </c>
      <c r="E75" s="84">
        <v>1</v>
      </c>
      <c r="F75" s="159">
        <v>142.52249999999998</v>
      </c>
      <c r="G75" s="157">
        <f t="shared" si="4"/>
        <v>142.52249999999998</v>
      </c>
    </row>
    <row r="76" spans="1:7" ht="30" x14ac:dyDescent="0.25">
      <c r="A76" s="246"/>
      <c r="B76" s="95" t="s">
        <v>435</v>
      </c>
      <c r="C76" s="84" t="s">
        <v>376</v>
      </c>
      <c r="D76" s="84" t="s">
        <v>175</v>
      </c>
      <c r="E76" s="84">
        <v>1</v>
      </c>
      <c r="F76" s="159">
        <v>93.050000000000011</v>
      </c>
      <c r="G76" s="157">
        <f t="shared" si="4"/>
        <v>93.050000000000011</v>
      </c>
    </row>
    <row r="77" spans="1:7" ht="45" x14ac:dyDescent="0.25">
      <c r="A77" s="246"/>
      <c r="B77" s="95" t="s">
        <v>436</v>
      </c>
      <c r="C77" s="84" t="s">
        <v>377</v>
      </c>
      <c r="D77" s="84" t="s">
        <v>175</v>
      </c>
      <c r="E77" s="84">
        <v>1</v>
      </c>
      <c r="F77" s="159">
        <v>59.984999999999999</v>
      </c>
      <c r="G77" s="157">
        <f t="shared" si="4"/>
        <v>59.984999999999999</v>
      </c>
    </row>
    <row r="78" spans="1:7" x14ac:dyDescent="0.25">
      <c r="A78" s="246"/>
      <c r="B78" s="95" t="s">
        <v>183</v>
      </c>
      <c r="C78" s="156" t="s">
        <v>378</v>
      </c>
      <c r="D78" s="156" t="s">
        <v>175</v>
      </c>
      <c r="E78" s="156">
        <v>2</v>
      </c>
      <c r="F78" s="159">
        <v>30.575000000000003</v>
      </c>
      <c r="G78" s="157">
        <f t="shared" si="4"/>
        <v>61.150000000000006</v>
      </c>
    </row>
    <row r="79" spans="1:7" ht="30" x14ac:dyDescent="0.25">
      <c r="A79" s="246"/>
      <c r="B79" s="95" t="s">
        <v>184</v>
      </c>
      <c r="C79" s="156" t="s">
        <v>379</v>
      </c>
      <c r="D79" s="156" t="s">
        <v>175</v>
      </c>
      <c r="E79" s="156">
        <v>1</v>
      </c>
      <c r="F79" s="159">
        <v>79.075000000000003</v>
      </c>
      <c r="G79" s="157">
        <f t="shared" si="4"/>
        <v>79.075000000000003</v>
      </c>
    </row>
    <row r="80" spans="1:7" x14ac:dyDescent="0.25">
      <c r="A80" s="246"/>
      <c r="B80" s="95" t="s">
        <v>185</v>
      </c>
      <c r="C80" s="156" t="s">
        <v>380</v>
      </c>
      <c r="D80" s="156" t="s">
        <v>175</v>
      </c>
      <c r="E80" s="156">
        <v>1</v>
      </c>
      <c r="F80" s="159">
        <v>37.295000000000002</v>
      </c>
      <c r="G80" s="157">
        <f t="shared" si="4"/>
        <v>37.295000000000002</v>
      </c>
    </row>
    <row r="81" spans="1:7" ht="45" x14ac:dyDescent="0.25">
      <c r="A81" s="246"/>
      <c r="B81" s="95" t="s">
        <v>437</v>
      </c>
      <c r="C81" s="156"/>
      <c r="D81" s="156" t="s">
        <v>175</v>
      </c>
      <c r="E81" s="156">
        <v>2</v>
      </c>
      <c r="F81" s="159">
        <v>383.4375</v>
      </c>
      <c r="G81" s="157">
        <f t="shared" si="4"/>
        <v>766.875</v>
      </c>
    </row>
    <row r="82" spans="1:7" ht="30" x14ac:dyDescent="0.25">
      <c r="A82" s="246"/>
      <c r="B82" s="95" t="s">
        <v>438</v>
      </c>
      <c r="C82" s="156" t="s">
        <v>381</v>
      </c>
      <c r="D82" s="156" t="s">
        <v>175</v>
      </c>
      <c r="E82" s="156">
        <v>1</v>
      </c>
      <c r="F82" s="159">
        <v>28.997499999999999</v>
      </c>
      <c r="G82" s="157">
        <f t="shared" si="4"/>
        <v>28.997499999999999</v>
      </c>
    </row>
    <row r="83" spans="1:7" ht="73.5" customHeight="1" x14ac:dyDescent="0.25">
      <c r="A83" s="246"/>
      <c r="B83" s="95" t="s">
        <v>439</v>
      </c>
      <c r="C83" s="156" t="s">
        <v>382</v>
      </c>
      <c r="D83" s="156" t="s">
        <v>175</v>
      </c>
      <c r="E83" s="156">
        <v>1</v>
      </c>
      <c r="F83" s="159">
        <v>114.83000000000001</v>
      </c>
      <c r="G83" s="157">
        <f t="shared" si="4"/>
        <v>114.83000000000001</v>
      </c>
    </row>
    <row r="84" spans="1:7" x14ac:dyDescent="0.25">
      <c r="A84" s="246"/>
      <c r="B84" s="95" t="s">
        <v>440</v>
      </c>
      <c r="C84" s="156" t="s">
        <v>383</v>
      </c>
      <c r="D84" s="156" t="s">
        <v>175</v>
      </c>
      <c r="E84" s="156">
        <v>1</v>
      </c>
      <c r="F84" s="159">
        <v>42.787500000000009</v>
      </c>
      <c r="G84" s="157">
        <f t="shared" si="4"/>
        <v>42.787500000000009</v>
      </c>
    </row>
    <row r="85" spans="1:7" x14ac:dyDescent="0.25">
      <c r="A85" s="246"/>
      <c r="B85" s="95" t="s">
        <v>384</v>
      </c>
      <c r="C85" s="156" t="s">
        <v>446</v>
      </c>
      <c r="D85" s="156" t="s">
        <v>175</v>
      </c>
      <c r="E85" s="156">
        <v>1</v>
      </c>
      <c r="F85" s="159">
        <v>6076.8150000000005</v>
      </c>
      <c r="G85" s="157">
        <f t="shared" si="4"/>
        <v>6076.8150000000005</v>
      </c>
    </row>
    <row r="86" spans="1:7" ht="30" x14ac:dyDescent="0.25">
      <c r="A86" s="246"/>
      <c r="B86" s="95" t="s">
        <v>441</v>
      </c>
      <c r="C86" s="156" t="s">
        <v>385</v>
      </c>
      <c r="D86" s="156" t="s">
        <v>175</v>
      </c>
      <c r="E86" s="156">
        <v>1</v>
      </c>
      <c r="F86" s="159">
        <v>45.0075</v>
      </c>
      <c r="G86" s="157">
        <f t="shared" si="4"/>
        <v>45.0075</v>
      </c>
    </row>
    <row r="87" spans="1:7" ht="30" x14ac:dyDescent="0.25">
      <c r="A87" s="246"/>
      <c r="B87" s="95" t="s">
        <v>186</v>
      </c>
      <c r="C87" s="156" t="s">
        <v>386</v>
      </c>
      <c r="D87" s="156" t="s">
        <v>175</v>
      </c>
      <c r="E87" s="156">
        <v>1</v>
      </c>
      <c r="F87" s="159">
        <v>28.47</v>
      </c>
      <c r="G87" s="157">
        <f t="shared" si="4"/>
        <v>28.47</v>
      </c>
    </row>
    <row r="88" spans="1:7" ht="30" x14ac:dyDescent="0.25">
      <c r="A88" s="246"/>
      <c r="B88" s="95" t="s">
        <v>442</v>
      </c>
      <c r="C88" s="156" t="s">
        <v>387</v>
      </c>
      <c r="D88" s="156" t="s">
        <v>395</v>
      </c>
      <c r="E88" s="156">
        <v>1</v>
      </c>
      <c r="F88" s="159">
        <v>51.695000000000007</v>
      </c>
      <c r="G88" s="157">
        <f t="shared" si="4"/>
        <v>51.695000000000007</v>
      </c>
    </row>
    <row r="89" spans="1:7" x14ac:dyDescent="0.25">
      <c r="A89" s="246"/>
      <c r="B89" s="95" t="s">
        <v>188</v>
      </c>
      <c r="C89" s="156" t="s">
        <v>388</v>
      </c>
      <c r="D89" s="156" t="s">
        <v>189</v>
      </c>
      <c r="E89" s="156">
        <v>1</v>
      </c>
      <c r="F89" s="159">
        <v>179.68</v>
      </c>
      <c r="G89" s="157">
        <f t="shared" si="4"/>
        <v>179.68</v>
      </c>
    </row>
    <row r="90" spans="1:7" ht="80.25" customHeight="1" x14ac:dyDescent="0.25">
      <c r="A90" s="246"/>
      <c r="B90" s="95" t="s">
        <v>187</v>
      </c>
      <c r="C90" s="156" t="s">
        <v>389</v>
      </c>
      <c r="D90" s="156" t="s">
        <v>175</v>
      </c>
      <c r="E90" s="156">
        <v>1</v>
      </c>
      <c r="F90" s="159">
        <v>1443.8975</v>
      </c>
      <c r="G90" s="157">
        <f t="shared" si="4"/>
        <v>1443.8975</v>
      </c>
    </row>
    <row r="91" spans="1:7" x14ac:dyDescent="0.25">
      <c r="A91" s="246"/>
      <c r="B91" s="95" t="s">
        <v>443</v>
      </c>
      <c r="C91" s="156" t="s">
        <v>390</v>
      </c>
      <c r="D91" s="156" t="s">
        <v>175</v>
      </c>
      <c r="E91" s="156">
        <v>2</v>
      </c>
      <c r="F91" s="159">
        <v>30.755000000000003</v>
      </c>
      <c r="G91" s="157">
        <f t="shared" si="4"/>
        <v>61.510000000000005</v>
      </c>
    </row>
    <row r="92" spans="1:7" ht="30" x14ac:dyDescent="0.25">
      <c r="A92" s="246"/>
      <c r="B92" s="95" t="s">
        <v>444</v>
      </c>
      <c r="C92" s="156" t="s">
        <v>391</v>
      </c>
      <c r="D92" s="156" t="s">
        <v>395</v>
      </c>
      <c r="E92" s="156">
        <v>1</v>
      </c>
      <c r="F92" s="159">
        <v>301.49</v>
      </c>
      <c r="G92" s="157">
        <f t="shared" si="4"/>
        <v>301.49</v>
      </c>
    </row>
    <row r="93" spans="1:7" x14ac:dyDescent="0.25">
      <c r="A93" s="246"/>
      <c r="B93" s="95" t="s">
        <v>445</v>
      </c>
      <c r="C93" s="84" t="s">
        <v>392</v>
      </c>
      <c r="D93" s="84" t="s">
        <v>395</v>
      </c>
      <c r="E93" s="84">
        <v>2</v>
      </c>
      <c r="F93" s="159">
        <v>64.68249999999999</v>
      </c>
      <c r="G93" s="157">
        <f t="shared" si="4"/>
        <v>129.36499999999998</v>
      </c>
    </row>
    <row r="94" spans="1:7" x14ac:dyDescent="0.25">
      <c r="A94" s="282" t="s">
        <v>5</v>
      </c>
      <c r="B94" s="283"/>
      <c r="C94" s="283"/>
      <c r="D94" s="283"/>
      <c r="E94" s="283"/>
      <c r="F94" s="299"/>
      <c r="G94" s="157">
        <f>SUM(G48:G93)</f>
        <v>14533.675000000001</v>
      </c>
    </row>
    <row r="95" spans="1:7" ht="32.25" customHeight="1" x14ac:dyDescent="0.25">
      <c r="A95" s="282" t="s">
        <v>580</v>
      </c>
      <c r="B95" s="283"/>
      <c r="C95" s="283"/>
      <c r="D95" s="283"/>
      <c r="E95" s="283"/>
      <c r="F95" s="299"/>
      <c r="G95" s="157">
        <f>G94/60</f>
        <v>242.22791666666669</v>
      </c>
    </row>
    <row r="97" spans="1:7" x14ac:dyDescent="0.25">
      <c r="A97" s="284" t="s">
        <v>511</v>
      </c>
      <c r="B97" s="284"/>
      <c r="C97" s="284"/>
      <c r="D97" s="284"/>
      <c r="E97" s="284"/>
      <c r="F97" s="284"/>
      <c r="G97" s="284"/>
    </row>
    <row r="98" spans="1:7" ht="30" x14ac:dyDescent="0.25">
      <c r="A98" s="88" t="s">
        <v>30</v>
      </c>
      <c r="B98" s="88" t="s">
        <v>510</v>
      </c>
      <c r="C98" s="88" t="s">
        <v>172</v>
      </c>
      <c r="D98" s="156" t="s">
        <v>175</v>
      </c>
      <c r="E98" s="156" t="s">
        <v>177</v>
      </c>
      <c r="F98" s="156" t="s">
        <v>176</v>
      </c>
      <c r="G98" s="156" t="s">
        <v>178</v>
      </c>
    </row>
    <row r="99" spans="1:7" x14ac:dyDescent="0.25">
      <c r="A99" s="256" t="s">
        <v>509</v>
      </c>
      <c r="B99" s="156" t="s">
        <v>447</v>
      </c>
      <c r="C99" s="156" t="s">
        <v>396</v>
      </c>
      <c r="D99" s="88" t="s">
        <v>411</v>
      </c>
      <c r="E99" s="88">
        <v>1</v>
      </c>
      <c r="F99" s="162">
        <v>44.962500000000006</v>
      </c>
      <c r="G99" s="158">
        <f>F99*E99</f>
        <v>44.962500000000006</v>
      </c>
    </row>
    <row r="100" spans="1:7" ht="75" x14ac:dyDescent="0.25">
      <c r="A100" s="285"/>
      <c r="B100" s="156" t="s">
        <v>448</v>
      </c>
      <c r="C100" s="156" t="s">
        <v>397</v>
      </c>
      <c r="D100" s="88" t="s">
        <v>411</v>
      </c>
      <c r="E100" s="88">
        <v>1</v>
      </c>
      <c r="F100" s="162">
        <v>66.185000000000002</v>
      </c>
      <c r="G100" s="158">
        <f t="shared" ref="G100:G146" si="5">F100*E100</f>
        <v>66.185000000000002</v>
      </c>
    </row>
    <row r="101" spans="1:7" ht="30" x14ac:dyDescent="0.25">
      <c r="A101" s="285"/>
      <c r="B101" s="156" t="s">
        <v>449</v>
      </c>
      <c r="C101" s="156" t="s">
        <v>398</v>
      </c>
      <c r="D101" s="88" t="s">
        <v>175</v>
      </c>
      <c r="E101" s="88">
        <v>1</v>
      </c>
      <c r="F101" s="162">
        <v>30.5975</v>
      </c>
      <c r="G101" s="158">
        <f t="shared" si="5"/>
        <v>30.5975</v>
      </c>
    </row>
    <row r="102" spans="1:7" ht="30" x14ac:dyDescent="0.25">
      <c r="A102" s="285"/>
      <c r="B102" s="156" t="s">
        <v>450</v>
      </c>
      <c r="C102" s="156" t="s">
        <v>399</v>
      </c>
      <c r="D102" s="88" t="s">
        <v>175</v>
      </c>
      <c r="E102" s="88">
        <v>1</v>
      </c>
      <c r="F102" s="162">
        <v>50.307500000000005</v>
      </c>
      <c r="G102" s="158">
        <f t="shared" si="5"/>
        <v>50.307500000000005</v>
      </c>
    </row>
    <row r="103" spans="1:7" ht="45" x14ac:dyDescent="0.25">
      <c r="A103" s="285"/>
      <c r="B103" s="156" t="s">
        <v>451</v>
      </c>
      <c r="C103" s="156" t="s">
        <v>400</v>
      </c>
      <c r="D103" s="88" t="s">
        <v>175</v>
      </c>
      <c r="E103" s="88">
        <v>1</v>
      </c>
      <c r="F103" s="162">
        <v>188.435</v>
      </c>
      <c r="G103" s="158">
        <f t="shared" si="5"/>
        <v>188.435</v>
      </c>
    </row>
    <row r="104" spans="1:7" x14ac:dyDescent="0.25">
      <c r="A104" s="285"/>
      <c r="B104" s="156" t="s">
        <v>452</v>
      </c>
      <c r="C104" s="156" t="s">
        <v>401</v>
      </c>
      <c r="D104" s="88" t="s">
        <v>175</v>
      </c>
      <c r="E104" s="88">
        <v>1</v>
      </c>
      <c r="F104" s="162">
        <v>36.052499999999995</v>
      </c>
      <c r="G104" s="158">
        <f t="shared" si="5"/>
        <v>36.052499999999995</v>
      </c>
    </row>
    <row r="105" spans="1:7" ht="30" x14ac:dyDescent="0.25">
      <c r="A105" s="285"/>
      <c r="B105" s="156" t="s">
        <v>453</v>
      </c>
      <c r="C105" s="156" t="s">
        <v>402</v>
      </c>
      <c r="D105" s="88" t="s">
        <v>175</v>
      </c>
      <c r="E105" s="88">
        <v>3</v>
      </c>
      <c r="F105" s="162">
        <v>59.11</v>
      </c>
      <c r="G105" s="158">
        <f t="shared" si="5"/>
        <v>177.32999999999998</v>
      </c>
    </row>
    <row r="106" spans="1:7" x14ac:dyDescent="0.25">
      <c r="A106" s="285"/>
      <c r="B106" s="156" t="s">
        <v>454</v>
      </c>
      <c r="C106" s="156" t="s">
        <v>403</v>
      </c>
      <c r="D106" s="88" t="s">
        <v>412</v>
      </c>
      <c r="E106" s="88">
        <v>1</v>
      </c>
      <c r="F106" s="162">
        <v>22.445</v>
      </c>
      <c r="G106" s="158">
        <f t="shared" si="5"/>
        <v>22.445</v>
      </c>
    </row>
    <row r="107" spans="1:7" ht="30" x14ac:dyDescent="0.25">
      <c r="A107" s="285"/>
      <c r="B107" s="156" t="s">
        <v>404</v>
      </c>
      <c r="C107" s="156" t="s">
        <v>404</v>
      </c>
      <c r="D107" s="88" t="s">
        <v>175</v>
      </c>
      <c r="E107" s="88">
        <v>0.5</v>
      </c>
      <c r="F107" s="162">
        <v>107.53749999999999</v>
      </c>
      <c r="G107" s="158">
        <f t="shared" si="5"/>
        <v>53.768749999999997</v>
      </c>
    </row>
    <row r="108" spans="1:7" ht="30" x14ac:dyDescent="0.25">
      <c r="A108" s="285"/>
      <c r="B108" s="156" t="s">
        <v>455</v>
      </c>
      <c r="C108" s="156" t="s">
        <v>405</v>
      </c>
      <c r="D108" s="88" t="s">
        <v>411</v>
      </c>
      <c r="E108" s="88">
        <v>1</v>
      </c>
      <c r="F108" s="162">
        <v>12.682500000000001</v>
      </c>
      <c r="G108" s="158">
        <f t="shared" si="5"/>
        <v>12.682500000000001</v>
      </c>
    </row>
    <row r="109" spans="1:7" ht="30" x14ac:dyDescent="0.25">
      <c r="A109" s="285"/>
      <c r="B109" s="156" t="s">
        <v>456</v>
      </c>
      <c r="C109" s="156" t="s">
        <v>406</v>
      </c>
      <c r="D109" s="88" t="s">
        <v>175</v>
      </c>
      <c r="E109" s="88">
        <v>1</v>
      </c>
      <c r="F109" s="162">
        <v>23.755000000000003</v>
      </c>
      <c r="G109" s="158">
        <f t="shared" si="5"/>
        <v>23.755000000000003</v>
      </c>
    </row>
    <row r="110" spans="1:7" ht="45" x14ac:dyDescent="0.25">
      <c r="A110" s="285"/>
      <c r="B110" s="156" t="s">
        <v>193</v>
      </c>
      <c r="C110" s="156" t="s">
        <v>407</v>
      </c>
      <c r="D110" s="88" t="s">
        <v>175</v>
      </c>
      <c r="E110" s="88">
        <v>1</v>
      </c>
      <c r="F110" s="162">
        <v>7.8350000000000009</v>
      </c>
      <c r="G110" s="158">
        <f t="shared" si="5"/>
        <v>7.8350000000000009</v>
      </c>
    </row>
    <row r="111" spans="1:7" ht="30" x14ac:dyDescent="0.25">
      <c r="A111" s="285"/>
      <c r="B111" s="156" t="s">
        <v>457</v>
      </c>
      <c r="C111" s="156" t="s">
        <v>408</v>
      </c>
      <c r="D111" s="88" t="s">
        <v>175</v>
      </c>
      <c r="E111" s="88">
        <v>1</v>
      </c>
      <c r="F111" s="162">
        <v>42.26</v>
      </c>
      <c r="G111" s="158">
        <f t="shared" si="5"/>
        <v>42.26</v>
      </c>
    </row>
    <row r="112" spans="1:7" ht="30" x14ac:dyDescent="0.25">
      <c r="A112" s="285"/>
      <c r="B112" s="156" t="s">
        <v>458</v>
      </c>
      <c r="C112" s="156" t="s">
        <v>409</v>
      </c>
      <c r="D112" s="88" t="s">
        <v>175</v>
      </c>
      <c r="E112" s="88">
        <v>1</v>
      </c>
      <c r="F112" s="162">
        <v>21.545000000000002</v>
      </c>
      <c r="G112" s="158">
        <f t="shared" si="5"/>
        <v>21.545000000000002</v>
      </c>
    </row>
    <row r="113" spans="1:7" x14ac:dyDescent="0.25">
      <c r="A113" s="285"/>
      <c r="B113" s="156" t="s">
        <v>459</v>
      </c>
      <c r="C113" s="156" t="s">
        <v>410</v>
      </c>
      <c r="D113" s="88" t="s">
        <v>175</v>
      </c>
      <c r="E113" s="88">
        <v>1</v>
      </c>
      <c r="F113" s="162">
        <v>15.985000000000001</v>
      </c>
      <c r="G113" s="158">
        <f t="shared" si="5"/>
        <v>15.985000000000001</v>
      </c>
    </row>
    <row r="114" spans="1:7" x14ac:dyDescent="0.25">
      <c r="A114" s="285"/>
      <c r="B114" s="156" t="s">
        <v>520</v>
      </c>
      <c r="C114" s="156" t="s">
        <v>521</v>
      </c>
      <c r="D114" s="88" t="s">
        <v>567</v>
      </c>
      <c r="E114" s="88">
        <v>5</v>
      </c>
      <c r="F114" s="162">
        <v>17.4925</v>
      </c>
      <c r="G114" s="158">
        <f t="shared" si="5"/>
        <v>87.462500000000006</v>
      </c>
    </row>
    <row r="115" spans="1:7" ht="30" x14ac:dyDescent="0.25">
      <c r="A115" s="285"/>
      <c r="B115" s="156" t="s">
        <v>522</v>
      </c>
      <c r="C115" s="156" t="s">
        <v>523</v>
      </c>
      <c r="D115" s="88" t="s">
        <v>567</v>
      </c>
      <c r="E115" s="88">
        <v>5</v>
      </c>
      <c r="F115" s="162">
        <v>39.127499999999998</v>
      </c>
      <c r="G115" s="158">
        <f t="shared" si="5"/>
        <v>195.63749999999999</v>
      </c>
    </row>
    <row r="116" spans="1:7" x14ac:dyDescent="0.25">
      <c r="A116" s="285"/>
      <c r="B116" s="156" t="s">
        <v>524</v>
      </c>
      <c r="C116" s="156" t="s">
        <v>525</v>
      </c>
      <c r="D116" s="88" t="s">
        <v>568</v>
      </c>
      <c r="E116" s="88">
        <v>0.5</v>
      </c>
      <c r="F116" s="162">
        <v>57.747500000000002</v>
      </c>
      <c r="G116" s="158">
        <f t="shared" si="5"/>
        <v>28.873750000000001</v>
      </c>
    </row>
    <row r="117" spans="1:7" ht="45" x14ac:dyDescent="0.25">
      <c r="A117" s="285"/>
      <c r="B117" s="156" t="s">
        <v>526</v>
      </c>
      <c r="C117" s="156" t="s">
        <v>527</v>
      </c>
      <c r="D117" s="88" t="s">
        <v>395</v>
      </c>
      <c r="E117" s="88">
        <v>2.5</v>
      </c>
      <c r="F117" s="162">
        <v>3.6274999999999999</v>
      </c>
      <c r="G117" s="158">
        <f t="shared" si="5"/>
        <v>9.0687499999999996</v>
      </c>
    </row>
    <row r="118" spans="1:7" ht="45" x14ac:dyDescent="0.25">
      <c r="A118" s="285"/>
      <c r="B118" s="156" t="s">
        <v>526</v>
      </c>
      <c r="C118" s="156" t="s">
        <v>528</v>
      </c>
      <c r="D118" s="88" t="s">
        <v>395</v>
      </c>
      <c r="E118" s="88">
        <v>2.5</v>
      </c>
      <c r="F118" s="162">
        <v>2.8899999999999997</v>
      </c>
      <c r="G118" s="158">
        <f t="shared" si="5"/>
        <v>7.2249999999999996</v>
      </c>
    </row>
    <row r="119" spans="1:7" ht="30" x14ac:dyDescent="0.25">
      <c r="A119" s="285"/>
      <c r="B119" s="156" t="s">
        <v>526</v>
      </c>
      <c r="C119" s="156" t="s">
        <v>529</v>
      </c>
      <c r="D119" s="88" t="s">
        <v>395</v>
      </c>
      <c r="E119" s="88">
        <v>2.5</v>
      </c>
      <c r="F119" s="162">
        <v>4.6624999999999996</v>
      </c>
      <c r="G119" s="158">
        <f t="shared" si="5"/>
        <v>11.65625</v>
      </c>
    </row>
    <row r="120" spans="1:7" ht="45" x14ac:dyDescent="0.25">
      <c r="A120" s="285"/>
      <c r="B120" s="156" t="s">
        <v>526</v>
      </c>
      <c r="C120" s="156" t="s">
        <v>530</v>
      </c>
      <c r="D120" s="88" t="s">
        <v>395</v>
      </c>
      <c r="E120" s="88">
        <v>2.5</v>
      </c>
      <c r="F120" s="162">
        <v>9.1875</v>
      </c>
      <c r="G120" s="158">
        <f t="shared" si="5"/>
        <v>22.96875</v>
      </c>
    </row>
    <row r="121" spans="1:7" ht="45" x14ac:dyDescent="0.25">
      <c r="A121" s="285"/>
      <c r="B121" s="156" t="s">
        <v>526</v>
      </c>
      <c r="C121" s="156" t="s">
        <v>531</v>
      </c>
      <c r="D121" s="88" t="s">
        <v>395</v>
      </c>
      <c r="E121" s="88">
        <v>2.5</v>
      </c>
      <c r="F121" s="162">
        <v>11.170000000000002</v>
      </c>
      <c r="G121" s="158">
        <f t="shared" si="5"/>
        <v>27.925000000000004</v>
      </c>
    </row>
    <row r="122" spans="1:7" x14ac:dyDescent="0.25">
      <c r="A122" s="285"/>
      <c r="B122" s="156" t="s">
        <v>532</v>
      </c>
      <c r="C122" s="156" t="s">
        <v>533</v>
      </c>
      <c r="D122" s="88" t="s">
        <v>395</v>
      </c>
      <c r="E122" s="88">
        <v>4</v>
      </c>
      <c r="F122" s="162">
        <v>7.2124999999999995</v>
      </c>
      <c r="G122" s="158">
        <f t="shared" si="5"/>
        <v>28.849999999999998</v>
      </c>
    </row>
    <row r="123" spans="1:7" x14ac:dyDescent="0.25">
      <c r="A123" s="285"/>
      <c r="B123" s="156" t="s">
        <v>532</v>
      </c>
      <c r="C123" s="156" t="s">
        <v>534</v>
      </c>
      <c r="D123" s="88" t="s">
        <v>395</v>
      </c>
      <c r="E123" s="88">
        <v>4</v>
      </c>
      <c r="F123" s="162">
        <v>9.7000000000000011</v>
      </c>
      <c r="G123" s="158">
        <f t="shared" si="5"/>
        <v>38.800000000000004</v>
      </c>
    </row>
    <row r="124" spans="1:7" x14ac:dyDescent="0.25">
      <c r="A124" s="285"/>
      <c r="B124" s="156" t="s">
        <v>532</v>
      </c>
      <c r="C124" s="156" t="s">
        <v>535</v>
      </c>
      <c r="D124" s="88" t="s">
        <v>395</v>
      </c>
      <c r="E124" s="88">
        <v>4</v>
      </c>
      <c r="F124" s="162">
        <v>14.620000000000001</v>
      </c>
      <c r="G124" s="158">
        <f t="shared" si="5"/>
        <v>58.480000000000004</v>
      </c>
    </row>
    <row r="125" spans="1:7" x14ac:dyDescent="0.25">
      <c r="A125" s="285"/>
      <c r="B125" s="156" t="s">
        <v>532</v>
      </c>
      <c r="C125" s="156" t="s">
        <v>536</v>
      </c>
      <c r="D125" s="88" t="s">
        <v>395</v>
      </c>
      <c r="E125" s="88">
        <v>4</v>
      </c>
      <c r="F125" s="162">
        <v>14.4275</v>
      </c>
      <c r="G125" s="158">
        <f t="shared" si="5"/>
        <v>57.71</v>
      </c>
    </row>
    <row r="126" spans="1:7" ht="30" x14ac:dyDescent="0.25">
      <c r="A126" s="285"/>
      <c r="B126" s="156" t="s">
        <v>537</v>
      </c>
      <c r="C126" s="156" t="s">
        <v>538</v>
      </c>
      <c r="D126" s="88" t="s">
        <v>567</v>
      </c>
      <c r="E126" s="88">
        <v>4.2000000000000003E-2</v>
      </c>
      <c r="F126" s="162">
        <v>44.032500000000006</v>
      </c>
      <c r="G126" s="158">
        <f t="shared" si="5"/>
        <v>1.8493650000000004</v>
      </c>
    </row>
    <row r="127" spans="1:7" ht="30" x14ac:dyDescent="0.25">
      <c r="A127" s="285"/>
      <c r="B127" s="156" t="s">
        <v>539</v>
      </c>
      <c r="C127" s="156" t="s">
        <v>540</v>
      </c>
      <c r="D127" s="88" t="s">
        <v>569</v>
      </c>
      <c r="E127" s="88">
        <v>4.2000000000000003E-2</v>
      </c>
      <c r="F127" s="162">
        <v>25.234999999999999</v>
      </c>
      <c r="G127" s="158">
        <f t="shared" si="5"/>
        <v>1.0598700000000001</v>
      </c>
    </row>
    <row r="128" spans="1:7" ht="30" x14ac:dyDescent="0.25">
      <c r="A128" s="285"/>
      <c r="B128" s="156" t="s">
        <v>541</v>
      </c>
      <c r="C128" s="156" t="s">
        <v>542</v>
      </c>
      <c r="D128" s="88" t="s">
        <v>567</v>
      </c>
      <c r="E128" s="88">
        <v>4.2000000000000003E-2</v>
      </c>
      <c r="F128" s="162">
        <v>56.372500000000002</v>
      </c>
      <c r="G128" s="158">
        <f t="shared" si="5"/>
        <v>2.3676450000000004</v>
      </c>
    </row>
    <row r="129" spans="1:7" ht="30" x14ac:dyDescent="0.25">
      <c r="A129" s="285"/>
      <c r="B129" s="156" t="s">
        <v>543</v>
      </c>
      <c r="C129" s="156" t="s">
        <v>544</v>
      </c>
      <c r="D129" s="88" t="s">
        <v>395</v>
      </c>
      <c r="E129" s="88">
        <v>25</v>
      </c>
      <c r="F129" s="162">
        <v>3.9699999999999998</v>
      </c>
      <c r="G129" s="158">
        <f t="shared" si="5"/>
        <v>99.25</v>
      </c>
    </row>
    <row r="130" spans="1:7" x14ac:dyDescent="0.25">
      <c r="A130" s="285"/>
      <c r="B130" s="156" t="s">
        <v>545</v>
      </c>
      <c r="C130" s="156" t="s">
        <v>546</v>
      </c>
      <c r="D130" s="88" t="s">
        <v>395</v>
      </c>
      <c r="E130" s="88">
        <v>5</v>
      </c>
      <c r="F130" s="162">
        <v>12.412500000000001</v>
      </c>
      <c r="G130" s="158">
        <f t="shared" si="5"/>
        <v>62.062500000000007</v>
      </c>
    </row>
    <row r="131" spans="1:7" x14ac:dyDescent="0.25">
      <c r="A131" s="285"/>
      <c r="B131" s="156" t="s">
        <v>547</v>
      </c>
      <c r="C131" s="156" t="s">
        <v>548</v>
      </c>
      <c r="D131" s="88" t="s">
        <v>395</v>
      </c>
      <c r="E131" s="88">
        <v>0.5</v>
      </c>
      <c r="F131" s="162">
        <v>38.097499999999997</v>
      </c>
      <c r="G131" s="158">
        <f t="shared" si="5"/>
        <v>19.048749999999998</v>
      </c>
    </row>
    <row r="132" spans="1:7" x14ac:dyDescent="0.25">
      <c r="A132" s="285"/>
      <c r="B132" s="156" t="s">
        <v>549</v>
      </c>
      <c r="C132" s="156" t="s">
        <v>550</v>
      </c>
      <c r="D132" s="88" t="s">
        <v>395</v>
      </c>
      <c r="E132" s="88">
        <v>1</v>
      </c>
      <c r="F132" s="162">
        <v>20.622500000000002</v>
      </c>
      <c r="G132" s="158">
        <f t="shared" si="5"/>
        <v>20.622500000000002</v>
      </c>
    </row>
    <row r="133" spans="1:7" x14ac:dyDescent="0.25">
      <c r="A133" s="285"/>
      <c r="B133" s="156" t="s">
        <v>551</v>
      </c>
      <c r="C133" s="156" t="s">
        <v>552</v>
      </c>
      <c r="D133" s="88" t="s">
        <v>567</v>
      </c>
      <c r="E133" s="88">
        <v>3</v>
      </c>
      <c r="F133" s="162">
        <v>7.6850000000000005</v>
      </c>
      <c r="G133" s="158">
        <f t="shared" si="5"/>
        <v>23.055</v>
      </c>
    </row>
    <row r="134" spans="1:7" x14ac:dyDescent="0.25">
      <c r="A134" s="285"/>
      <c r="B134" s="156" t="s">
        <v>553</v>
      </c>
      <c r="C134" s="156" t="s">
        <v>554</v>
      </c>
      <c r="D134" s="88" t="s">
        <v>395</v>
      </c>
      <c r="E134" s="88">
        <v>0.5</v>
      </c>
      <c r="F134" s="162">
        <v>111</v>
      </c>
      <c r="G134" s="158">
        <f t="shared" si="5"/>
        <v>55.5</v>
      </c>
    </row>
    <row r="135" spans="1:7" x14ac:dyDescent="0.25">
      <c r="A135" s="285"/>
      <c r="B135" s="156" t="s">
        <v>555</v>
      </c>
      <c r="C135" s="156" t="s">
        <v>556</v>
      </c>
      <c r="D135" s="88" t="s">
        <v>395</v>
      </c>
      <c r="E135" s="88">
        <v>1</v>
      </c>
      <c r="F135" s="162">
        <v>22.25</v>
      </c>
      <c r="G135" s="158">
        <f t="shared" si="5"/>
        <v>22.25</v>
      </c>
    </row>
    <row r="136" spans="1:7" x14ac:dyDescent="0.25">
      <c r="A136" s="285"/>
      <c r="B136" s="156" t="s">
        <v>557</v>
      </c>
      <c r="C136" s="156" t="s">
        <v>558</v>
      </c>
      <c r="D136" s="88" t="s">
        <v>395</v>
      </c>
      <c r="E136" s="88">
        <v>3</v>
      </c>
      <c r="F136" s="162">
        <v>9.0024999999999995</v>
      </c>
      <c r="G136" s="158">
        <f t="shared" si="5"/>
        <v>27.0075</v>
      </c>
    </row>
    <row r="137" spans="1:7" x14ac:dyDescent="0.25">
      <c r="A137" s="285"/>
      <c r="B137" s="156" t="s">
        <v>559</v>
      </c>
      <c r="C137" s="156" t="s">
        <v>560</v>
      </c>
      <c r="D137" s="88" t="s">
        <v>568</v>
      </c>
      <c r="E137" s="88">
        <v>10</v>
      </c>
      <c r="F137" s="162">
        <v>13.885000000000002</v>
      </c>
      <c r="G137" s="158">
        <f t="shared" si="5"/>
        <v>138.85000000000002</v>
      </c>
    </row>
    <row r="138" spans="1:7" x14ac:dyDescent="0.25">
      <c r="A138" s="285"/>
      <c r="B138" s="156" t="s">
        <v>561</v>
      </c>
      <c r="C138" s="156" t="s">
        <v>562</v>
      </c>
      <c r="D138" s="88" t="s">
        <v>395</v>
      </c>
      <c r="E138" s="88">
        <v>3</v>
      </c>
      <c r="F138" s="162">
        <v>10.6175</v>
      </c>
      <c r="G138" s="158">
        <f t="shared" si="5"/>
        <v>31.852499999999999</v>
      </c>
    </row>
    <row r="139" spans="1:7" x14ac:dyDescent="0.25">
      <c r="A139" s="285"/>
      <c r="B139" s="156" t="s">
        <v>563</v>
      </c>
      <c r="C139" s="156" t="s">
        <v>563</v>
      </c>
      <c r="D139" s="88" t="s">
        <v>568</v>
      </c>
      <c r="E139" s="88">
        <v>1</v>
      </c>
      <c r="F139" s="162">
        <v>20.852499999999999</v>
      </c>
      <c r="G139" s="158">
        <f t="shared" si="5"/>
        <v>20.852499999999999</v>
      </c>
    </row>
    <row r="140" spans="1:7" x14ac:dyDescent="0.25">
      <c r="A140" s="285"/>
      <c r="B140" s="156" t="s">
        <v>564</v>
      </c>
      <c r="C140" s="156" t="s">
        <v>498</v>
      </c>
      <c r="D140" s="88" t="s">
        <v>175</v>
      </c>
      <c r="E140" s="88">
        <v>0.16700000000000001</v>
      </c>
      <c r="F140" s="162">
        <v>16.704999999999998</v>
      </c>
      <c r="G140" s="158">
        <f t="shared" si="5"/>
        <v>2.7897349999999999</v>
      </c>
    </row>
    <row r="141" spans="1:7" x14ac:dyDescent="0.25">
      <c r="A141" s="285"/>
      <c r="B141" s="156" t="s">
        <v>565</v>
      </c>
      <c r="C141" s="156" t="s">
        <v>566</v>
      </c>
      <c r="D141" s="88" t="s">
        <v>395</v>
      </c>
      <c r="E141" s="88">
        <v>1</v>
      </c>
      <c r="F141" s="162">
        <v>6.71</v>
      </c>
      <c r="G141" s="158">
        <f t="shared" si="5"/>
        <v>6.71</v>
      </c>
    </row>
    <row r="142" spans="1:7" ht="41.25" customHeight="1" x14ac:dyDescent="0.25">
      <c r="A142" s="285"/>
      <c r="B142" s="156" t="s">
        <v>570</v>
      </c>
      <c r="C142" s="163" t="s">
        <v>571</v>
      </c>
      <c r="D142" s="88" t="s">
        <v>395</v>
      </c>
      <c r="E142" s="88">
        <v>300</v>
      </c>
      <c r="F142" s="162">
        <v>0.46</v>
      </c>
      <c r="G142" s="158">
        <f t="shared" si="5"/>
        <v>138</v>
      </c>
    </row>
    <row r="143" spans="1:7" ht="55.5" customHeight="1" x14ac:dyDescent="0.25">
      <c r="A143" s="285"/>
      <c r="B143" s="156" t="s">
        <v>572</v>
      </c>
      <c r="C143" s="163" t="s">
        <v>573</v>
      </c>
      <c r="D143" s="88" t="s">
        <v>395</v>
      </c>
      <c r="E143" s="88">
        <v>50</v>
      </c>
      <c r="F143" s="162">
        <v>0.39</v>
      </c>
      <c r="G143" s="158">
        <f t="shared" si="5"/>
        <v>19.5</v>
      </c>
    </row>
    <row r="144" spans="1:7" ht="55.5" customHeight="1" x14ac:dyDescent="0.25">
      <c r="A144" s="285"/>
      <c r="B144" s="156" t="s">
        <v>574</v>
      </c>
      <c r="C144" s="163" t="s">
        <v>575</v>
      </c>
      <c r="D144" s="88" t="s">
        <v>395</v>
      </c>
      <c r="E144" s="88">
        <v>50</v>
      </c>
      <c r="F144" s="162">
        <v>0.65</v>
      </c>
      <c r="G144" s="158">
        <f t="shared" si="5"/>
        <v>32.5</v>
      </c>
    </row>
    <row r="145" spans="1:7" ht="55.5" customHeight="1" x14ac:dyDescent="0.25">
      <c r="A145" s="285"/>
      <c r="B145" s="156" t="s">
        <v>576</v>
      </c>
      <c r="C145" s="163" t="s">
        <v>577</v>
      </c>
      <c r="D145" s="88" t="s">
        <v>395</v>
      </c>
      <c r="E145" s="88">
        <v>50</v>
      </c>
      <c r="F145" s="162">
        <v>0.19</v>
      </c>
      <c r="G145" s="158">
        <f t="shared" si="5"/>
        <v>9.5</v>
      </c>
    </row>
    <row r="146" spans="1:7" ht="55.5" customHeight="1" x14ac:dyDescent="0.25">
      <c r="A146" s="257"/>
      <c r="B146" s="156" t="s">
        <v>578</v>
      </c>
      <c r="C146" s="163" t="s">
        <v>579</v>
      </c>
      <c r="D146" s="88" t="s">
        <v>395</v>
      </c>
      <c r="E146" s="88">
        <v>10</v>
      </c>
      <c r="F146" s="162">
        <v>35</v>
      </c>
      <c r="G146" s="158">
        <f t="shared" si="5"/>
        <v>350</v>
      </c>
    </row>
    <row r="147" spans="1:7" x14ac:dyDescent="0.25">
      <c r="A147" s="177" t="s">
        <v>5</v>
      </c>
      <c r="B147" s="177"/>
      <c r="C147" s="177"/>
      <c r="D147" s="177"/>
      <c r="E147" s="177"/>
      <c r="F147" s="177"/>
      <c r="G147" s="158">
        <f>SUM(G99:G146)</f>
        <v>2453.4316149999995</v>
      </c>
    </row>
    <row r="148" spans="1:7" x14ac:dyDescent="0.25">
      <c r="A148" s="177" t="s">
        <v>581</v>
      </c>
      <c r="B148" s="177"/>
      <c r="C148" s="177"/>
      <c r="D148" s="177"/>
      <c r="E148" s="177"/>
      <c r="F148" s="177"/>
      <c r="G148" s="158">
        <f>G147/12</f>
        <v>204.45263458333329</v>
      </c>
    </row>
    <row r="149" spans="1:7" x14ac:dyDescent="0.25">
      <c r="A149" s="160"/>
      <c r="B149" s="160"/>
      <c r="C149" s="160"/>
      <c r="D149" s="160"/>
      <c r="E149" s="160"/>
      <c r="F149" s="160"/>
      <c r="G149" s="161"/>
    </row>
    <row r="150" spans="1:7" x14ac:dyDescent="0.25">
      <c r="A150" s="284" t="s">
        <v>593</v>
      </c>
      <c r="B150" s="284"/>
      <c r="C150" s="284"/>
      <c r="D150" s="284"/>
      <c r="E150" s="284"/>
      <c r="F150" s="284"/>
      <c r="G150" s="284"/>
    </row>
    <row r="151" spans="1:7" ht="30" x14ac:dyDescent="0.25">
      <c r="A151" s="88" t="s">
        <v>30</v>
      </c>
      <c r="B151" s="88" t="s">
        <v>514</v>
      </c>
      <c r="C151" s="156" t="s">
        <v>172</v>
      </c>
      <c r="D151" s="156" t="s">
        <v>175</v>
      </c>
      <c r="E151" s="156" t="s">
        <v>508</v>
      </c>
      <c r="F151" s="156" t="s">
        <v>176</v>
      </c>
      <c r="G151" s="156" t="s">
        <v>178</v>
      </c>
    </row>
    <row r="152" spans="1:7" ht="15" customHeight="1" x14ac:dyDescent="0.25">
      <c r="A152" s="256" t="s">
        <v>597</v>
      </c>
      <c r="B152" s="88" t="s">
        <v>515</v>
      </c>
      <c r="C152" s="88" t="s">
        <v>191</v>
      </c>
      <c r="D152" s="88" t="s">
        <v>175</v>
      </c>
      <c r="E152" s="88">
        <v>1</v>
      </c>
      <c r="F152" s="162">
        <v>25.233333333333334</v>
      </c>
      <c r="G152" s="158">
        <f>F152*E152</f>
        <v>25.233333333333334</v>
      </c>
    </row>
    <row r="153" spans="1:7" x14ac:dyDescent="0.25">
      <c r="A153" s="285"/>
      <c r="B153" s="88" t="s">
        <v>516</v>
      </c>
      <c r="C153" s="88" t="s">
        <v>192</v>
      </c>
      <c r="D153" s="88" t="s">
        <v>175</v>
      </c>
      <c r="E153" s="88">
        <v>1</v>
      </c>
      <c r="F153" s="162">
        <v>16.233333333333331</v>
      </c>
      <c r="G153" s="158">
        <f t="shared" ref="G153:G156" si="6">F153*E153</f>
        <v>16.233333333333331</v>
      </c>
    </row>
    <row r="154" spans="1:7" x14ac:dyDescent="0.25">
      <c r="A154" s="285"/>
      <c r="B154" s="88" t="s">
        <v>517</v>
      </c>
      <c r="C154" s="88" t="s">
        <v>193</v>
      </c>
      <c r="D154" s="88" t="s">
        <v>175</v>
      </c>
      <c r="E154" s="88">
        <v>1</v>
      </c>
      <c r="F154" s="162">
        <v>9.0966666666666658</v>
      </c>
      <c r="G154" s="158">
        <f t="shared" si="6"/>
        <v>9.0966666666666658</v>
      </c>
    </row>
    <row r="155" spans="1:7" x14ac:dyDescent="0.25">
      <c r="A155" s="285"/>
      <c r="B155" s="88" t="s">
        <v>194</v>
      </c>
      <c r="C155" s="88" t="s">
        <v>194</v>
      </c>
      <c r="D155" s="88" t="s">
        <v>175</v>
      </c>
      <c r="E155" s="88">
        <v>1</v>
      </c>
      <c r="F155" s="162">
        <v>4.2333333333333334</v>
      </c>
      <c r="G155" s="158">
        <f t="shared" si="6"/>
        <v>4.2333333333333334</v>
      </c>
    </row>
    <row r="156" spans="1:7" ht="33.75" customHeight="1" x14ac:dyDescent="0.25">
      <c r="A156" s="257"/>
      <c r="B156" s="88" t="s">
        <v>219</v>
      </c>
      <c r="C156" s="156" t="s">
        <v>519</v>
      </c>
      <c r="D156" s="88" t="s">
        <v>518</v>
      </c>
      <c r="E156" s="88">
        <v>1</v>
      </c>
      <c r="F156" s="162">
        <v>2000</v>
      </c>
      <c r="G156" s="158">
        <f t="shared" si="6"/>
        <v>2000</v>
      </c>
    </row>
    <row r="157" spans="1:7" x14ac:dyDescent="0.25">
      <c r="A157" s="179" t="s">
        <v>5</v>
      </c>
      <c r="B157" s="179"/>
      <c r="C157" s="179"/>
      <c r="D157" s="179"/>
      <c r="E157" s="179"/>
      <c r="F157" s="179"/>
      <c r="G157" s="158">
        <f>SUM(G152:G156)</f>
        <v>2054.7966666666666</v>
      </c>
    </row>
    <row r="158" spans="1:7" x14ac:dyDescent="0.25">
      <c r="A158" s="179" t="s">
        <v>582</v>
      </c>
      <c r="B158" s="179"/>
      <c r="C158" s="179"/>
      <c r="D158" s="179"/>
      <c r="E158" s="179"/>
      <c r="F158" s="179"/>
      <c r="G158" s="158">
        <f>G157/12</f>
        <v>171.23305555555555</v>
      </c>
    </row>
    <row r="160" spans="1:7" x14ac:dyDescent="0.25">
      <c r="A160" s="284" t="s">
        <v>601</v>
      </c>
      <c r="B160" s="284"/>
      <c r="C160" s="284"/>
      <c r="D160" s="284"/>
      <c r="E160" s="284"/>
      <c r="F160" s="284"/>
      <c r="G160" s="284"/>
    </row>
    <row r="161" spans="1:7" ht="30" x14ac:dyDescent="0.25">
      <c r="A161" s="156" t="s">
        <v>30</v>
      </c>
      <c r="B161" s="156" t="s">
        <v>514</v>
      </c>
      <c r="C161" s="156" t="s">
        <v>172</v>
      </c>
      <c r="D161" s="156" t="s">
        <v>175</v>
      </c>
      <c r="E161" s="156" t="s">
        <v>508</v>
      </c>
      <c r="F161" s="156" t="s">
        <v>176</v>
      </c>
      <c r="G161" s="156" t="s">
        <v>178</v>
      </c>
    </row>
    <row r="162" spans="1:7" ht="30" x14ac:dyDescent="0.25">
      <c r="A162" s="156" t="s">
        <v>100</v>
      </c>
      <c r="B162" s="156" t="s">
        <v>598</v>
      </c>
      <c r="C162" s="156" t="s">
        <v>602</v>
      </c>
      <c r="D162" s="156" t="s">
        <v>175</v>
      </c>
      <c r="E162" s="156">
        <v>1</v>
      </c>
      <c r="F162" s="159">
        <v>2199.9899999999998</v>
      </c>
      <c r="G162" s="157">
        <f>F162*E162</f>
        <v>2199.9899999999998</v>
      </c>
    </row>
    <row r="163" spans="1:7" x14ac:dyDescent="0.25">
      <c r="A163" s="156"/>
      <c r="B163" s="156" t="s">
        <v>599</v>
      </c>
      <c r="C163" s="156" t="s">
        <v>600</v>
      </c>
      <c r="D163" s="156" t="s">
        <v>175</v>
      </c>
      <c r="E163" s="156">
        <v>0.5</v>
      </c>
      <c r="F163" s="159">
        <v>1832.23</v>
      </c>
      <c r="G163" s="157">
        <f t="shared" ref="G163" si="7">F163*E163</f>
        <v>916.11500000000001</v>
      </c>
    </row>
    <row r="164" spans="1:7" x14ac:dyDescent="0.25">
      <c r="A164" s="179" t="s">
        <v>5</v>
      </c>
      <c r="B164" s="179"/>
      <c r="C164" s="179"/>
      <c r="D164" s="179"/>
      <c r="E164" s="179"/>
      <c r="F164" s="179"/>
      <c r="G164" s="158">
        <f>SUM(G162:G163)</f>
        <v>3116.1049999999996</v>
      </c>
    </row>
    <row r="165" spans="1:7" x14ac:dyDescent="0.25">
      <c r="A165" s="179" t="s">
        <v>582</v>
      </c>
      <c r="B165" s="179"/>
      <c r="C165" s="179"/>
      <c r="D165" s="179"/>
      <c r="E165" s="179"/>
      <c r="F165" s="179"/>
      <c r="G165" s="158">
        <f>G164/60</f>
        <v>51.935083333333324</v>
      </c>
    </row>
    <row r="167" spans="1:7" x14ac:dyDescent="0.25">
      <c r="A167" s="284" t="s">
        <v>513</v>
      </c>
      <c r="B167" s="284"/>
      <c r="C167" s="284"/>
      <c r="D167" s="284"/>
      <c r="E167" s="284"/>
      <c r="F167" s="284"/>
      <c r="G167" s="284"/>
    </row>
    <row r="168" spans="1:7" ht="30" x14ac:dyDescent="0.25">
      <c r="A168" s="84" t="s">
        <v>30</v>
      </c>
      <c r="B168" s="156" t="s">
        <v>100</v>
      </c>
      <c r="C168" s="84" t="s">
        <v>172</v>
      </c>
      <c r="D168" s="84" t="s">
        <v>175</v>
      </c>
      <c r="E168" s="84" t="s">
        <v>508</v>
      </c>
      <c r="F168" s="84" t="s">
        <v>176</v>
      </c>
      <c r="G168" s="84" t="s">
        <v>178</v>
      </c>
    </row>
    <row r="169" spans="1:7" ht="15" customHeight="1" x14ac:dyDescent="0.25">
      <c r="A169" s="246" t="s">
        <v>507</v>
      </c>
      <c r="B169" s="95" t="s">
        <v>460</v>
      </c>
      <c r="C169" s="156" t="s">
        <v>461</v>
      </c>
      <c r="D169" s="84" t="s">
        <v>175</v>
      </c>
      <c r="E169" s="157">
        <v>2</v>
      </c>
      <c r="F169" s="159">
        <v>51.295000000000002</v>
      </c>
      <c r="G169" s="157">
        <f>F169*E169</f>
        <v>102.59</v>
      </c>
    </row>
    <row r="170" spans="1:7" ht="30" x14ac:dyDescent="0.25">
      <c r="A170" s="246"/>
      <c r="B170" s="95" t="s">
        <v>413</v>
      </c>
      <c r="C170" s="156" t="s">
        <v>349</v>
      </c>
      <c r="D170" s="84" t="s">
        <v>175</v>
      </c>
      <c r="E170" s="157">
        <v>2</v>
      </c>
      <c r="F170" s="159">
        <v>53.577500000000001</v>
      </c>
      <c r="G170" s="157">
        <f t="shared" ref="G170:G231" si="8">F170*E170</f>
        <v>107.155</v>
      </c>
    </row>
    <row r="171" spans="1:7" x14ac:dyDescent="0.25">
      <c r="A171" s="246"/>
      <c r="B171" s="95" t="s">
        <v>462</v>
      </c>
      <c r="C171" s="156" t="s">
        <v>462</v>
      </c>
      <c r="D171" s="84" t="s">
        <v>175</v>
      </c>
      <c r="E171" s="157">
        <v>2</v>
      </c>
      <c r="F171" s="159">
        <v>61.272499999999994</v>
      </c>
      <c r="G171" s="157">
        <f t="shared" si="8"/>
        <v>122.54499999999999</v>
      </c>
    </row>
    <row r="172" spans="1:7" ht="45" x14ac:dyDescent="0.25">
      <c r="A172" s="246"/>
      <c r="B172" s="95" t="s">
        <v>179</v>
      </c>
      <c r="C172" s="156" t="s">
        <v>350</v>
      </c>
      <c r="D172" s="84" t="s">
        <v>175</v>
      </c>
      <c r="E172" s="157">
        <v>2</v>
      </c>
      <c r="F172" s="159">
        <v>58.732500000000002</v>
      </c>
      <c r="G172" s="157">
        <f t="shared" si="8"/>
        <v>117.465</v>
      </c>
    </row>
    <row r="173" spans="1:7" x14ac:dyDescent="0.25">
      <c r="A173" s="246"/>
      <c r="B173" s="95" t="s">
        <v>414</v>
      </c>
      <c r="C173" s="156" t="s">
        <v>351</v>
      </c>
      <c r="D173" s="84" t="s">
        <v>175</v>
      </c>
      <c r="E173" s="157">
        <v>2</v>
      </c>
      <c r="F173" s="159">
        <v>65.015000000000001</v>
      </c>
      <c r="G173" s="157">
        <f t="shared" si="8"/>
        <v>130.03</v>
      </c>
    </row>
    <row r="174" spans="1:7" ht="30" x14ac:dyDescent="0.25">
      <c r="A174" s="246"/>
      <c r="B174" s="95" t="s">
        <v>463</v>
      </c>
      <c r="C174" s="156" t="s">
        <v>464</v>
      </c>
      <c r="D174" s="84" t="s">
        <v>175</v>
      </c>
      <c r="E174" s="157">
        <v>2</v>
      </c>
      <c r="F174" s="159">
        <v>36.14</v>
      </c>
      <c r="G174" s="157">
        <f t="shared" si="8"/>
        <v>72.28</v>
      </c>
    </row>
    <row r="175" spans="1:7" ht="60" x14ac:dyDescent="0.25">
      <c r="A175" s="246"/>
      <c r="B175" s="95" t="s">
        <v>415</v>
      </c>
      <c r="C175" s="156" t="s">
        <v>352</v>
      </c>
      <c r="D175" s="84" t="s">
        <v>175</v>
      </c>
      <c r="E175" s="157">
        <v>2</v>
      </c>
      <c r="F175" s="159">
        <v>158.27000000000001</v>
      </c>
      <c r="G175" s="157">
        <f t="shared" si="8"/>
        <v>316.54000000000002</v>
      </c>
    </row>
    <row r="176" spans="1:7" ht="30" x14ac:dyDescent="0.25">
      <c r="A176" s="246"/>
      <c r="B176" s="95" t="s">
        <v>416</v>
      </c>
      <c r="C176" s="156" t="s">
        <v>353</v>
      </c>
      <c r="D176" s="84" t="s">
        <v>175</v>
      </c>
      <c r="E176" s="157">
        <v>2</v>
      </c>
      <c r="F176" s="159">
        <v>61.504999999999995</v>
      </c>
      <c r="G176" s="157">
        <f t="shared" si="8"/>
        <v>123.00999999999999</v>
      </c>
    </row>
    <row r="177" spans="1:7" x14ac:dyDescent="0.25">
      <c r="A177" s="246"/>
      <c r="B177" s="95" t="s">
        <v>180</v>
      </c>
      <c r="C177" s="156" t="s">
        <v>354</v>
      </c>
      <c r="D177" s="84" t="s">
        <v>175</v>
      </c>
      <c r="E177" s="157">
        <v>2</v>
      </c>
      <c r="F177" s="159">
        <v>60.732500000000002</v>
      </c>
      <c r="G177" s="157">
        <f t="shared" si="8"/>
        <v>121.465</v>
      </c>
    </row>
    <row r="178" spans="1:7" x14ac:dyDescent="0.25">
      <c r="A178" s="246"/>
      <c r="B178" s="95" t="s">
        <v>465</v>
      </c>
      <c r="C178" s="156" t="s">
        <v>465</v>
      </c>
      <c r="D178" s="84" t="s">
        <v>175</v>
      </c>
      <c r="E178" s="157">
        <v>2</v>
      </c>
      <c r="F178" s="159">
        <v>47.954999999999998</v>
      </c>
      <c r="G178" s="157">
        <f t="shared" si="8"/>
        <v>95.91</v>
      </c>
    </row>
    <row r="179" spans="1:7" ht="45" x14ac:dyDescent="0.25">
      <c r="A179" s="246"/>
      <c r="B179" s="95" t="s">
        <v>417</v>
      </c>
      <c r="C179" s="156" t="s">
        <v>355</v>
      </c>
      <c r="D179" s="84" t="s">
        <v>175</v>
      </c>
      <c r="E179" s="157">
        <v>1</v>
      </c>
      <c r="F179" s="159">
        <v>151.23000000000002</v>
      </c>
      <c r="G179" s="157">
        <f t="shared" si="8"/>
        <v>151.23000000000002</v>
      </c>
    </row>
    <row r="180" spans="1:7" ht="30" x14ac:dyDescent="0.25">
      <c r="A180" s="246"/>
      <c r="B180" s="95" t="s">
        <v>181</v>
      </c>
      <c r="C180" s="156" t="s">
        <v>356</v>
      </c>
      <c r="D180" s="84" t="s">
        <v>175</v>
      </c>
      <c r="E180" s="157">
        <v>1</v>
      </c>
      <c r="F180" s="159">
        <v>138.73250000000002</v>
      </c>
      <c r="G180" s="157">
        <f t="shared" si="8"/>
        <v>138.73250000000002</v>
      </c>
    </row>
    <row r="181" spans="1:7" x14ac:dyDescent="0.25">
      <c r="A181" s="246"/>
      <c r="B181" s="95" t="s">
        <v>420</v>
      </c>
      <c r="C181" s="156" t="s">
        <v>360</v>
      </c>
      <c r="D181" s="84" t="s">
        <v>175</v>
      </c>
      <c r="E181" s="157">
        <v>2</v>
      </c>
      <c r="F181" s="159">
        <v>45.5625</v>
      </c>
      <c r="G181" s="157">
        <f t="shared" si="8"/>
        <v>91.125</v>
      </c>
    </row>
    <row r="182" spans="1:7" x14ac:dyDescent="0.25">
      <c r="A182" s="246"/>
      <c r="B182" s="95" t="s">
        <v>421</v>
      </c>
      <c r="C182" s="156" t="s">
        <v>361</v>
      </c>
      <c r="D182" s="84" t="s">
        <v>175</v>
      </c>
      <c r="E182" s="157">
        <v>2</v>
      </c>
      <c r="F182" s="159">
        <v>21.15</v>
      </c>
      <c r="G182" s="157">
        <f t="shared" si="8"/>
        <v>42.3</v>
      </c>
    </row>
    <row r="183" spans="1:7" x14ac:dyDescent="0.25">
      <c r="A183" s="246"/>
      <c r="B183" s="95" t="s">
        <v>421</v>
      </c>
      <c r="C183" s="156" t="s">
        <v>361</v>
      </c>
      <c r="D183" s="84" t="s">
        <v>175</v>
      </c>
      <c r="E183" s="157">
        <v>2</v>
      </c>
      <c r="F183" s="159">
        <v>22.310000000000002</v>
      </c>
      <c r="G183" s="157">
        <f t="shared" si="8"/>
        <v>44.620000000000005</v>
      </c>
    </row>
    <row r="184" spans="1:7" x14ac:dyDescent="0.25">
      <c r="A184" s="246"/>
      <c r="B184" s="95" t="s">
        <v>422</v>
      </c>
      <c r="C184" s="156" t="s">
        <v>362</v>
      </c>
      <c r="D184" s="84" t="s">
        <v>175</v>
      </c>
      <c r="E184" s="157">
        <v>2</v>
      </c>
      <c r="F184" s="159">
        <v>16.342500000000001</v>
      </c>
      <c r="G184" s="157">
        <f t="shared" si="8"/>
        <v>32.685000000000002</v>
      </c>
    </row>
    <row r="185" spans="1:7" x14ac:dyDescent="0.25">
      <c r="A185" s="246"/>
      <c r="B185" s="95" t="s">
        <v>423</v>
      </c>
      <c r="C185" s="156" t="s">
        <v>363</v>
      </c>
      <c r="D185" s="156" t="s">
        <v>175</v>
      </c>
      <c r="E185" s="157">
        <v>2</v>
      </c>
      <c r="F185" s="159">
        <v>20.807500000000001</v>
      </c>
      <c r="G185" s="157">
        <f t="shared" si="8"/>
        <v>41.615000000000002</v>
      </c>
    </row>
    <row r="186" spans="1:7" ht="30" x14ac:dyDescent="0.25">
      <c r="A186" s="246"/>
      <c r="B186" s="95" t="s">
        <v>466</v>
      </c>
      <c r="C186" s="156" t="s">
        <v>466</v>
      </c>
      <c r="D186" s="156" t="s">
        <v>175</v>
      </c>
      <c r="E186" s="157">
        <v>5</v>
      </c>
      <c r="F186" s="159">
        <v>23.15</v>
      </c>
      <c r="G186" s="157">
        <f t="shared" si="8"/>
        <v>115.75</v>
      </c>
    </row>
    <row r="187" spans="1:7" x14ac:dyDescent="0.25">
      <c r="A187" s="246"/>
      <c r="B187" s="95" t="s">
        <v>467</v>
      </c>
      <c r="C187" s="156" t="s">
        <v>468</v>
      </c>
      <c r="D187" s="156" t="s">
        <v>175</v>
      </c>
      <c r="E187" s="157">
        <v>1</v>
      </c>
      <c r="F187" s="159">
        <v>574.83249999999998</v>
      </c>
      <c r="G187" s="157">
        <f t="shared" si="8"/>
        <v>574.83249999999998</v>
      </c>
    </row>
    <row r="188" spans="1:7" ht="30" x14ac:dyDescent="0.25">
      <c r="A188" s="246"/>
      <c r="B188" s="95" t="s">
        <v>367</v>
      </c>
      <c r="C188" s="156" t="s">
        <v>367</v>
      </c>
      <c r="D188" s="156" t="s">
        <v>175</v>
      </c>
      <c r="E188" s="157">
        <v>1</v>
      </c>
      <c r="F188" s="159">
        <v>354.5675</v>
      </c>
      <c r="G188" s="157">
        <f t="shared" si="8"/>
        <v>354.5675</v>
      </c>
    </row>
    <row r="189" spans="1:7" x14ac:dyDescent="0.25">
      <c r="A189" s="246"/>
      <c r="B189" s="95" t="s">
        <v>428</v>
      </c>
      <c r="C189" s="156" t="s">
        <v>369</v>
      </c>
      <c r="D189" s="156" t="s">
        <v>175</v>
      </c>
      <c r="E189" s="157">
        <v>1</v>
      </c>
      <c r="F189" s="159">
        <v>103.35000000000001</v>
      </c>
      <c r="G189" s="157">
        <f t="shared" si="8"/>
        <v>103.35000000000001</v>
      </c>
    </row>
    <row r="190" spans="1:7" ht="30" x14ac:dyDescent="0.25">
      <c r="A190" s="246"/>
      <c r="B190" s="95" t="s">
        <v>469</v>
      </c>
      <c r="C190" s="156" t="s">
        <v>469</v>
      </c>
      <c r="D190" s="156" t="s">
        <v>175</v>
      </c>
      <c r="E190" s="157">
        <v>5</v>
      </c>
      <c r="F190" s="159">
        <v>46.0625</v>
      </c>
      <c r="G190" s="157">
        <f t="shared" si="8"/>
        <v>230.3125</v>
      </c>
    </row>
    <row r="191" spans="1:7" ht="30" x14ac:dyDescent="0.25">
      <c r="A191" s="246"/>
      <c r="B191" s="95" t="s">
        <v>470</v>
      </c>
      <c r="C191" s="156" t="s">
        <v>470</v>
      </c>
      <c r="D191" s="156" t="s">
        <v>175</v>
      </c>
      <c r="E191" s="157">
        <v>10</v>
      </c>
      <c r="F191" s="159">
        <v>113.5625</v>
      </c>
      <c r="G191" s="157">
        <f t="shared" si="8"/>
        <v>1135.625</v>
      </c>
    </row>
    <row r="192" spans="1:7" ht="30" x14ac:dyDescent="0.25">
      <c r="A192" s="246"/>
      <c r="B192" s="95" t="s">
        <v>471</v>
      </c>
      <c r="C192" s="156" t="s">
        <v>472</v>
      </c>
      <c r="D192" s="156" t="s">
        <v>175</v>
      </c>
      <c r="E192" s="157">
        <v>1</v>
      </c>
      <c r="F192" s="159">
        <v>677.90499999999997</v>
      </c>
      <c r="G192" s="157">
        <f t="shared" si="8"/>
        <v>677.90499999999997</v>
      </c>
    </row>
    <row r="193" spans="1:7" ht="30" x14ac:dyDescent="0.25">
      <c r="A193" s="246"/>
      <c r="B193" s="95" t="s">
        <v>473</v>
      </c>
      <c r="C193" s="156"/>
      <c r="D193" s="156" t="s">
        <v>175</v>
      </c>
      <c r="E193" s="157">
        <v>1</v>
      </c>
      <c r="F193" s="159">
        <v>697.65249999999992</v>
      </c>
      <c r="G193" s="157">
        <f t="shared" si="8"/>
        <v>697.65249999999992</v>
      </c>
    </row>
    <row r="194" spans="1:7" ht="45" x14ac:dyDescent="0.25">
      <c r="A194" s="246"/>
      <c r="B194" s="95" t="s">
        <v>429</v>
      </c>
      <c r="C194" s="156" t="s">
        <v>370</v>
      </c>
      <c r="D194" s="156" t="s">
        <v>175</v>
      </c>
      <c r="E194" s="157">
        <v>1</v>
      </c>
      <c r="F194" s="159">
        <v>360.49750000000006</v>
      </c>
      <c r="G194" s="157">
        <f t="shared" si="8"/>
        <v>360.49750000000006</v>
      </c>
    </row>
    <row r="195" spans="1:7" x14ac:dyDescent="0.25">
      <c r="A195" s="246"/>
      <c r="B195" s="95" t="s">
        <v>474</v>
      </c>
      <c r="C195" s="156" t="s">
        <v>475</v>
      </c>
      <c r="D195" s="156" t="s">
        <v>175</v>
      </c>
      <c r="E195" s="157">
        <v>1</v>
      </c>
      <c r="F195" s="159">
        <v>33.084999999999994</v>
      </c>
      <c r="G195" s="157">
        <f t="shared" si="8"/>
        <v>33.084999999999994</v>
      </c>
    </row>
    <row r="196" spans="1:7" ht="30" x14ac:dyDescent="0.25">
      <c r="A196" s="246"/>
      <c r="B196" s="95" t="s">
        <v>434</v>
      </c>
      <c r="C196" s="156" t="s">
        <v>375</v>
      </c>
      <c r="D196" s="156" t="s">
        <v>175</v>
      </c>
      <c r="E196" s="157">
        <v>1</v>
      </c>
      <c r="F196" s="159">
        <v>57.992500000000007</v>
      </c>
      <c r="G196" s="157">
        <f t="shared" si="8"/>
        <v>57.992500000000007</v>
      </c>
    </row>
    <row r="197" spans="1:7" ht="45" x14ac:dyDescent="0.25">
      <c r="A197" s="246"/>
      <c r="B197" s="95" t="s">
        <v>476</v>
      </c>
      <c r="C197" s="156" t="s">
        <v>477</v>
      </c>
      <c r="D197" s="156" t="s">
        <v>175</v>
      </c>
      <c r="E197" s="157">
        <v>1</v>
      </c>
      <c r="F197" s="159">
        <v>87.875</v>
      </c>
      <c r="G197" s="157">
        <f t="shared" si="8"/>
        <v>87.875</v>
      </c>
    </row>
    <row r="198" spans="1:7" ht="45" x14ac:dyDescent="0.25">
      <c r="A198" s="246"/>
      <c r="B198" s="95" t="s">
        <v>478</v>
      </c>
      <c r="C198" s="156" t="s">
        <v>479</v>
      </c>
      <c r="D198" s="156" t="s">
        <v>175</v>
      </c>
      <c r="E198" s="157">
        <v>1</v>
      </c>
      <c r="F198" s="159">
        <v>218.99250000000001</v>
      </c>
      <c r="G198" s="157">
        <f t="shared" si="8"/>
        <v>218.99250000000001</v>
      </c>
    </row>
    <row r="199" spans="1:7" ht="30" x14ac:dyDescent="0.25">
      <c r="A199" s="246"/>
      <c r="B199" s="95" t="s">
        <v>435</v>
      </c>
      <c r="C199" s="156" t="s">
        <v>376</v>
      </c>
      <c r="D199" s="156" t="s">
        <v>175</v>
      </c>
      <c r="E199" s="157">
        <v>1</v>
      </c>
      <c r="F199" s="159">
        <v>91.922499999999999</v>
      </c>
      <c r="G199" s="157">
        <f t="shared" si="8"/>
        <v>91.922499999999999</v>
      </c>
    </row>
    <row r="200" spans="1:7" ht="45" x14ac:dyDescent="0.25">
      <c r="A200" s="246"/>
      <c r="B200" s="95" t="s">
        <v>480</v>
      </c>
      <c r="C200" s="156"/>
      <c r="D200" s="156" t="s">
        <v>175</v>
      </c>
      <c r="E200" s="157">
        <v>1</v>
      </c>
      <c r="F200" s="159">
        <v>369.2</v>
      </c>
      <c r="G200" s="157">
        <f t="shared" si="8"/>
        <v>369.2</v>
      </c>
    </row>
    <row r="201" spans="1:7" ht="45" x14ac:dyDescent="0.25">
      <c r="A201" s="246"/>
      <c r="B201" s="95" t="s">
        <v>481</v>
      </c>
      <c r="C201" s="156"/>
      <c r="D201" s="156" t="s">
        <v>175</v>
      </c>
      <c r="E201" s="157">
        <v>1</v>
      </c>
      <c r="F201" s="159">
        <v>188.01500000000001</v>
      </c>
      <c r="G201" s="157">
        <f t="shared" si="8"/>
        <v>188.01500000000001</v>
      </c>
    </row>
    <row r="202" spans="1:7" ht="30" x14ac:dyDescent="0.25">
      <c r="A202" s="246"/>
      <c r="B202" s="95" t="s">
        <v>482</v>
      </c>
      <c r="C202" s="156" t="s">
        <v>483</v>
      </c>
      <c r="D202" s="156" t="s">
        <v>175</v>
      </c>
      <c r="E202" s="157">
        <v>1</v>
      </c>
      <c r="F202" s="159">
        <v>88.94</v>
      </c>
      <c r="G202" s="157">
        <f t="shared" si="8"/>
        <v>88.94</v>
      </c>
    </row>
    <row r="203" spans="1:7" ht="45" x14ac:dyDescent="0.25">
      <c r="A203" s="246"/>
      <c r="B203" s="95" t="s">
        <v>436</v>
      </c>
      <c r="C203" s="156" t="s">
        <v>377</v>
      </c>
      <c r="D203" s="156" t="s">
        <v>175</v>
      </c>
      <c r="E203" s="157">
        <v>1</v>
      </c>
      <c r="F203" s="159">
        <v>70.117499999999993</v>
      </c>
      <c r="G203" s="157">
        <f t="shared" si="8"/>
        <v>70.117499999999993</v>
      </c>
    </row>
    <row r="204" spans="1:7" ht="30" x14ac:dyDescent="0.25">
      <c r="A204" s="246"/>
      <c r="B204" s="95" t="s">
        <v>484</v>
      </c>
      <c r="C204" s="156" t="s">
        <v>484</v>
      </c>
      <c r="D204" s="156" t="s">
        <v>394</v>
      </c>
      <c r="E204" s="157">
        <v>2</v>
      </c>
      <c r="F204" s="159">
        <v>67.55</v>
      </c>
      <c r="G204" s="157">
        <f t="shared" si="8"/>
        <v>135.1</v>
      </c>
    </row>
    <row r="205" spans="1:7" x14ac:dyDescent="0.25">
      <c r="A205" s="246"/>
      <c r="B205" s="95" t="s">
        <v>485</v>
      </c>
      <c r="C205" s="156" t="s">
        <v>486</v>
      </c>
      <c r="D205" s="156" t="s">
        <v>175</v>
      </c>
      <c r="E205" s="157">
        <v>1</v>
      </c>
      <c r="F205" s="159">
        <v>355.11750000000001</v>
      </c>
      <c r="G205" s="157">
        <f t="shared" si="8"/>
        <v>355.11750000000001</v>
      </c>
    </row>
    <row r="206" spans="1:7" ht="45" x14ac:dyDescent="0.25">
      <c r="A206" s="246"/>
      <c r="B206" s="95" t="s">
        <v>487</v>
      </c>
      <c r="C206" s="156" t="s">
        <v>488</v>
      </c>
      <c r="D206" s="156" t="s">
        <v>175</v>
      </c>
      <c r="E206" s="157">
        <v>1</v>
      </c>
      <c r="F206" s="159">
        <v>272</v>
      </c>
      <c r="G206" s="157">
        <f t="shared" si="8"/>
        <v>272</v>
      </c>
    </row>
    <row r="207" spans="1:7" ht="30" x14ac:dyDescent="0.25">
      <c r="A207" s="246"/>
      <c r="B207" s="95" t="s">
        <v>489</v>
      </c>
      <c r="C207" s="156" t="s">
        <v>489</v>
      </c>
      <c r="D207" s="156" t="s">
        <v>175</v>
      </c>
      <c r="E207" s="157">
        <v>1</v>
      </c>
      <c r="F207" s="159">
        <v>47.112499999999997</v>
      </c>
      <c r="G207" s="157">
        <f t="shared" si="8"/>
        <v>47.112499999999997</v>
      </c>
    </row>
    <row r="208" spans="1:7" ht="30" x14ac:dyDescent="0.25">
      <c r="A208" s="246"/>
      <c r="B208" s="95" t="s">
        <v>490</v>
      </c>
      <c r="C208" s="156"/>
      <c r="D208" s="156" t="s">
        <v>175</v>
      </c>
      <c r="E208" s="157">
        <v>1</v>
      </c>
      <c r="F208" s="159">
        <v>1058.7049999999999</v>
      </c>
      <c r="G208" s="157">
        <f t="shared" si="8"/>
        <v>1058.7049999999999</v>
      </c>
    </row>
    <row r="209" spans="1:7" x14ac:dyDescent="0.25">
      <c r="A209" s="246"/>
      <c r="B209" s="95" t="s">
        <v>183</v>
      </c>
      <c r="C209" s="156" t="s">
        <v>378</v>
      </c>
      <c r="D209" s="156" t="s">
        <v>175</v>
      </c>
      <c r="E209" s="157">
        <v>1</v>
      </c>
      <c r="F209" s="159">
        <v>41.01</v>
      </c>
      <c r="G209" s="157">
        <f t="shared" si="8"/>
        <v>41.01</v>
      </c>
    </row>
    <row r="210" spans="1:7" ht="30" x14ac:dyDescent="0.25">
      <c r="A210" s="246"/>
      <c r="B210" s="95" t="s">
        <v>491</v>
      </c>
      <c r="C210" s="156"/>
      <c r="D210" s="156" t="s">
        <v>175</v>
      </c>
      <c r="E210" s="157">
        <v>1</v>
      </c>
      <c r="F210" s="159">
        <v>50.977499999999992</v>
      </c>
      <c r="G210" s="157">
        <f t="shared" si="8"/>
        <v>50.977499999999992</v>
      </c>
    </row>
    <row r="211" spans="1:7" ht="30" x14ac:dyDescent="0.25">
      <c r="A211" s="246"/>
      <c r="B211" s="95" t="s">
        <v>492</v>
      </c>
      <c r="C211" s="156" t="s">
        <v>492</v>
      </c>
      <c r="D211" s="156" t="s">
        <v>175</v>
      </c>
      <c r="E211" s="157">
        <v>5</v>
      </c>
      <c r="F211" s="159">
        <v>24.929999999999996</v>
      </c>
      <c r="G211" s="157">
        <f t="shared" si="8"/>
        <v>124.64999999999998</v>
      </c>
    </row>
    <row r="212" spans="1:7" ht="30" x14ac:dyDescent="0.25">
      <c r="A212" s="246"/>
      <c r="B212" s="95" t="s">
        <v>493</v>
      </c>
      <c r="C212" s="156" t="s">
        <v>493</v>
      </c>
      <c r="D212" s="156" t="s">
        <v>175</v>
      </c>
      <c r="E212" s="157">
        <v>5</v>
      </c>
      <c r="F212" s="159">
        <v>79.717500000000001</v>
      </c>
      <c r="G212" s="157">
        <f t="shared" si="8"/>
        <v>398.58749999999998</v>
      </c>
    </row>
    <row r="213" spans="1:7" ht="30" x14ac:dyDescent="0.25">
      <c r="A213" s="246"/>
      <c r="B213" s="95" t="s">
        <v>184</v>
      </c>
      <c r="C213" s="156" t="s">
        <v>379</v>
      </c>
      <c r="D213" s="156" t="s">
        <v>175</v>
      </c>
      <c r="E213" s="157">
        <v>1</v>
      </c>
      <c r="F213" s="159">
        <v>74.319999999999993</v>
      </c>
      <c r="G213" s="157">
        <f t="shared" si="8"/>
        <v>74.319999999999993</v>
      </c>
    </row>
    <row r="214" spans="1:7" x14ac:dyDescent="0.25">
      <c r="A214" s="246"/>
      <c r="B214" s="95" t="s">
        <v>185</v>
      </c>
      <c r="C214" s="156" t="s">
        <v>380</v>
      </c>
      <c r="D214" s="156" t="s">
        <v>175</v>
      </c>
      <c r="E214" s="157">
        <v>1</v>
      </c>
      <c r="F214" s="159">
        <v>44.894999999999996</v>
      </c>
      <c r="G214" s="157">
        <f t="shared" si="8"/>
        <v>44.894999999999996</v>
      </c>
    </row>
    <row r="215" spans="1:7" ht="45" x14ac:dyDescent="0.25">
      <c r="A215" s="246"/>
      <c r="B215" s="95" t="s">
        <v>437</v>
      </c>
      <c r="C215" s="156"/>
      <c r="D215" s="156" t="s">
        <v>175</v>
      </c>
      <c r="E215" s="157">
        <v>1</v>
      </c>
      <c r="F215" s="159">
        <v>359.90250000000003</v>
      </c>
      <c r="G215" s="157">
        <f t="shared" si="8"/>
        <v>359.90250000000003</v>
      </c>
    </row>
    <row r="216" spans="1:7" ht="30" x14ac:dyDescent="0.25">
      <c r="A216" s="246"/>
      <c r="B216" s="95" t="s">
        <v>494</v>
      </c>
      <c r="C216" s="156"/>
      <c r="D216" s="156" t="s">
        <v>175</v>
      </c>
      <c r="E216" s="157">
        <v>1</v>
      </c>
      <c r="F216" s="159">
        <v>348.01</v>
      </c>
      <c r="G216" s="157">
        <f t="shared" si="8"/>
        <v>348.01</v>
      </c>
    </row>
    <row r="217" spans="1:7" ht="45" x14ac:dyDescent="0.25">
      <c r="A217" s="246"/>
      <c r="B217" s="95" t="s">
        <v>495</v>
      </c>
      <c r="C217" s="156" t="s">
        <v>495</v>
      </c>
      <c r="D217" s="156"/>
      <c r="E217" s="157">
        <v>1</v>
      </c>
      <c r="F217" s="159">
        <v>187.8425</v>
      </c>
      <c r="G217" s="157">
        <f t="shared" si="8"/>
        <v>187.8425</v>
      </c>
    </row>
    <row r="218" spans="1:7" ht="30" x14ac:dyDescent="0.25">
      <c r="A218" s="246"/>
      <c r="B218" s="95" t="s">
        <v>496</v>
      </c>
      <c r="C218" s="156" t="s">
        <v>497</v>
      </c>
      <c r="D218" s="156" t="s">
        <v>175</v>
      </c>
      <c r="E218" s="157">
        <v>1</v>
      </c>
      <c r="F218" s="159">
        <v>333.91750000000002</v>
      </c>
      <c r="G218" s="157">
        <f t="shared" si="8"/>
        <v>333.91750000000002</v>
      </c>
    </row>
    <row r="219" spans="1:7" ht="60" x14ac:dyDescent="0.25">
      <c r="A219" s="246"/>
      <c r="B219" s="95" t="s">
        <v>439</v>
      </c>
      <c r="C219" s="156" t="s">
        <v>382</v>
      </c>
      <c r="D219" s="156" t="s">
        <v>175</v>
      </c>
      <c r="E219" s="157">
        <v>1</v>
      </c>
      <c r="F219" s="159">
        <v>152.83249999999998</v>
      </c>
      <c r="G219" s="157">
        <f t="shared" si="8"/>
        <v>152.83249999999998</v>
      </c>
    </row>
    <row r="220" spans="1:7" x14ac:dyDescent="0.25">
      <c r="A220" s="246"/>
      <c r="B220" s="95" t="s">
        <v>440</v>
      </c>
      <c r="C220" s="156" t="s">
        <v>383</v>
      </c>
      <c r="D220" s="156" t="s">
        <v>175</v>
      </c>
      <c r="E220" s="157">
        <v>1</v>
      </c>
      <c r="F220" s="159">
        <v>52.114999999999995</v>
      </c>
      <c r="G220" s="157">
        <f t="shared" si="8"/>
        <v>52.114999999999995</v>
      </c>
    </row>
    <row r="221" spans="1:7" x14ac:dyDescent="0.25">
      <c r="A221" s="246"/>
      <c r="B221" s="95" t="s">
        <v>384</v>
      </c>
      <c r="C221" s="156" t="s">
        <v>384</v>
      </c>
      <c r="D221" s="156" t="s">
        <v>175</v>
      </c>
      <c r="E221" s="157">
        <v>1</v>
      </c>
      <c r="F221" s="159">
        <v>5766.84</v>
      </c>
      <c r="G221" s="157">
        <f t="shared" si="8"/>
        <v>5766.84</v>
      </c>
    </row>
    <row r="222" spans="1:7" ht="30" x14ac:dyDescent="0.25">
      <c r="A222" s="246"/>
      <c r="B222" s="95" t="s">
        <v>498</v>
      </c>
      <c r="C222" s="156"/>
      <c r="D222" s="156" t="s">
        <v>175</v>
      </c>
      <c r="E222" s="157">
        <v>3</v>
      </c>
      <c r="F222" s="159">
        <v>21.337499999999999</v>
      </c>
      <c r="G222" s="157">
        <f t="shared" si="8"/>
        <v>64.012499999999989</v>
      </c>
    </row>
    <row r="223" spans="1:7" ht="30" x14ac:dyDescent="0.25">
      <c r="A223" s="246"/>
      <c r="B223" s="95" t="s">
        <v>499</v>
      </c>
      <c r="C223" s="156" t="s">
        <v>499</v>
      </c>
      <c r="D223" s="156" t="s">
        <v>175</v>
      </c>
      <c r="E223" s="157">
        <v>1</v>
      </c>
      <c r="F223" s="159">
        <v>30.384999999999998</v>
      </c>
      <c r="G223" s="157">
        <f t="shared" si="8"/>
        <v>30.384999999999998</v>
      </c>
    </row>
    <row r="224" spans="1:7" ht="45" x14ac:dyDescent="0.25">
      <c r="A224" s="246"/>
      <c r="B224" s="95" t="s">
        <v>500</v>
      </c>
      <c r="C224" s="156" t="s">
        <v>500</v>
      </c>
      <c r="D224" s="156" t="s">
        <v>395</v>
      </c>
      <c r="E224" s="157">
        <v>5</v>
      </c>
      <c r="F224" s="159">
        <v>15.15</v>
      </c>
      <c r="G224" s="157">
        <f t="shared" si="8"/>
        <v>75.75</v>
      </c>
    </row>
    <row r="225" spans="1:7" ht="30" x14ac:dyDescent="0.25">
      <c r="A225" s="246"/>
      <c r="B225" s="95" t="s">
        <v>442</v>
      </c>
      <c r="C225" s="156" t="s">
        <v>387</v>
      </c>
      <c r="D225" s="156" t="s">
        <v>175</v>
      </c>
      <c r="E225" s="157">
        <v>1</v>
      </c>
      <c r="F225" s="159">
        <v>55.867499999999993</v>
      </c>
      <c r="G225" s="157">
        <f t="shared" si="8"/>
        <v>55.867499999999993</v>
      </c>
    </row>
    <row r="226" spans="1:7" ht="30" x14ac:dyDescent="0.25">
      <c r="A226" s="246"/>
      <c r="B226" s="95" t="s">
        <v>501</v>
      </c>
      <c r="C226" s="156"/>
      <c r="D226" s="156" t="s">
        <v>175</v>
      </c>
      <c r="E226" s="157">
        <v>1</v>
      </c>
      <c r="F226" s="159">
        <v>275.85750000000002</v>
      </c>
      <c r="G226" s="157">
        <f t="shared" si="8"/>
        <v>275.85750000000002</v>
      </c>
    </row>
    <row r="227" spans="1:7" ht="30" x14ac:dyDescent="0.25">
      <c r="A227" s="246"/>
      <c r="B227" s="95" t="s">
        <v>502</v>
      </c>
      <c r="C227" s="156" t="s">
        <v>503</v>
      </c>
      <c r="D227" s="156" t="s">
        <v>175</v>
      </c>
      <c r="E227" s="157">
        <v>5</v>
      </c>
      <c r="F227" s="159">
        <v>208.14000000000001</v>
      </c>
      <c r="G227" s="157">
        <f t="shared" si="8"/>
        <v>1040.7</v>
      </c>
    </row>
    <row r="228" spans="1:7" ht="45" x14ac:dyDescent="0.25">
      <c r="A228" s="246"/>
      <c r="B228" s="95" t="s">
        <v>504</v>
      </c>
      <c r="C228" s="156"/>
      <c r="D228" s="156" t="s">
        <v>175</v>
      </c>
      <c r="E228" s="157">
        <v>2</v>
      </c>
      <c r="F228" s="159">
        <v>129.37</v>
      </c>
      <c r="G228" s="157">
        <f t="shared" si="8"/>
        <v>258.74</v>
      </c>
    </row>
    <row r="229" spans="1:7" x14ac:dyDescent="0.25">
      <c r="A229" s="246"/>
      <c r="B229" s="95" t="s">
        <v>443</v>
      </c>
      <c r="C229" s="156" t="s">
        <v>390</v>
      </c>
      <c r="D229" s="156" t="s">
        <v>395</v>
      </c>
      <c r="E229" s="157">
        <v>2</v>
      </c>
      <c r="F229" s="159">
        <v>38.777500000000003</v>
      </c>
      <c r="G229" s="157">
        <f t="shared" si="8"/>
        <v>77.555000000000007</v>
      </c>
    </row>
    <row r="230" spans="1:7" ht="30" x14ac:dyDescent="0.25">
      <c r="A230" s="246"/>
      <c r="B230" s="95" t="s">
        <v>444</v>
      </c>
      <c r="C230" s="156" t="s">
        <v>391</v>
      </c>
      <c r="D230" s="156" t="s">
        <v>175</v>
      </c>
      <c r="E230" s="157">
        <v>1</v>
      </c>
      <c r="F230" s="159">
        <v>302.51499999999999</v>
      </c>
      <c r="G230" s="157">
        <f t="shared" si="8"/>
        <v>302.51499999999999</v>
      </c>
    </row>
    <row r="231" spans="1:7" ht="45" x14ac:dyDescent="0.25">
      <c r="A231" s="246"/>
      <c r="B231" s="95" t="s">
        <v>505</v>
      </c>
      <c r="C231" s="156" t="s">
        <v>506</v>
      </c>
      <c r="D231" s="84" t="s">
        <v>175</v>
      </c>
      <c r="E231" s="157">
        <v>1</v>
      </c>
      <c r="F231" s="159">
        <v>917.27</v>
      </c>
      <c r="G231" s="157">
        <f t="shared" si="8"/>
        <v>917.27</v>
      </c>
    </row>
    <row r="232" spans="1:7" x14ac:dyDescent="0.25">
      <c r="A232" s="282" t="s">
        <v>5</v>
      </c>
      <c r="B232" s="283"/>
      <c r="C232" s="283"/>
      <c r="D232" s="283"/>
      <c r="E232" s="283"/>
      <c r="F232" s="283"/>
      <c r="G232" s="157">
        <f>SUM(G169:G231)</f>
        <v>20210.517500000005</v>
      </c>
    </row>
    <row r="233" spans="1:7" x14ac:dyDescent="0.25">
      <c r="A233" s="282" t="s">
        <v>583</v>
      </c>
      <c r="B233" s="283"/>
      <c r="C233" s="283"/>
      <c r="D233" s="283"/>
      <c r="E233" s="283"/>
      <c r="F233" s="283"/>
      <c r="G233" s="157">
        <f>G232/60</f>
        <v>336.84195833333342</v>
      </c>
    </row>
    <row r="277" spans="2:2" x14ac:dyDescent="0.25">
      <c r="B277" s="106"/>
    </row>
  </sheetData>
  <mergeCells count="30">
    <mergeCell ref="A148:F148"/>
    <mergeCell ref="A3:E3"/>
    <mergeCell ref="A48:A93"/>
    <mergeCell ref="A46:G46"/>
    <mergeCell ref="A40:C40"/>
    <mergeCell ref="A9:E9"/>
    <mergeCell ref="A13:E13"/>
    <mergeCell ref="A18:D18"/>
    <mergeCell ref="A23:D23"/>
    <mergeCell ref="A31:D31"/>
    <mergeCell ref="A39:C39"/>
    <mergeCell ref="A27:D27"/>
    <mergeCell ref="A94:F94"/>
    <mergeCell ref="A95:F95"/>
    <mergeCell ref="A1:E1"/>
    <mergeCell ref="A44:G44"/>
    <mergeCell ref="A233:F233"/>
    <mergeCell ref="A158:F158"/>
    <mergeCell ref="A167:G167"/>
    <mergeCell ref="A232:F232"/>
    <mergeCell ref="A99:A146"/>
    <mergeCell ref="A152:A156"/>
    <mergeCell ref="A169:A231"/>
    <mergeCell ref="A160:G160"/>
    <mergeCell ref="A164:F164"/>
    <mergeCell ref="A165:F165"/>
    <mergeCell ref="A150:G150"/>
    <mergeCell ref="A157:F157"/>
    <mergeCell ref="A97:G97"/>
    <mergeCell ref="A147:F147"/>
  </mergeCells>
  <pageMargins left="0.511811024" right="0.511811024" top="0.78740157499999996" bottom="0.78740157499999996" header="0.31496062000000002" footer="0.31496062000000002"/>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
  <sheetViews>
    <sheetView showGridLines="0" zoomScaleNormal="100" workbookViewId="0">
      <selection activeCell="C127" sqref="C127"/>
    </sheetView>
  </sheetViews>
  <sheetFormatPr defaultRowHeight="15.75" x14ac:dyDescent="0.25"/>
  <cols>
    <col min="1" max="1" width="16.28515625" style="35" customWidth="1"/>
    <col min="2" max="2" width="72.140625" style="35" customWidth="1"/>
    <col min="3" max="3" width="18" style="35" customWidth="1"/>
    <col min="4" max="4" width="14.28515625" style="35" customWidth="1"/>
    <col min="5" max="5" width="12.7109375" style="35" customWidth="1"/>
    <col min="6" max="6" width="12" style="35" customWidth="1"/>
    <col min="7" max="7" width="15.140625" style="35" customWidth="1"/>
    <col min="8" max="16384" width="9.140625" style="35"/>
  </cols>
  <sheetData>
    <row r="1" spans="1:4" ht="23.25" x14ac:dyDescent="0.35">
      <c r="A1" s="193" t="s">
        <v>107</v>
      </c>
      <c r="B1" s="193"/>
      <c r="C1" s="193"/>
      <c r="D1" s="193"/>
    </row>
    <row r="2" spans="1:4" ht="23.25" x14ac:dyDescent="0.35">
      <c r="A2" s="193" t="s">
        <v>108</v>
      </c>
      <c r="B2" s="193"/>
      <c r="C2" s="193"/>
      <c r="D2" s="193"/>
    </row>
    <row r="3" spans="1:4" ht="27.75" customHeight="1" x14ac:dyDescent="0.25">
      <c r="A3" s="195" t="s">
        <v>109</v>
      </c>
      <c r="B3" s="195"/>
      <c r="C3" s="195"/>
      <c r="D3" s="195"/>
    </row>
    <row r="4" spans="1:4" x14ac:dyDescent="0.25">
      <c r="A4" s="55" t="s">
        <v>117</v>
      </c>
      <c r="B4" s="190" t="s">
        <v>263</v>
      </c>
      <c r="C4" s="190"/>
    </row>
    <row r="5" spans="1:4" x14ac:dyDescent="0.25">
      <c r="A5" s="55" t="s">
        <v>118</v>
      </c>
      <c r="B5" s="190" t="s">
        <v>587</v>
      </c>
      <c r="C5" s="190"/>
    </row>
    <row r="6" spans="1:4" x14ac:dyDescent="0.25">
      <c r="A6" s="55" t="s">
        <v>119</v>
      </c>
      <c r="B6" s="190" t="s">
        <v>586</v>
      </c>
      <c r="C6" s="190"/>
    </row>
    <row r="7" spans="1:4" x14ac:dyDescent="0.25">
      <c r="A7" s="194" t="s">
        <v>39</v>
      </c>
      <c r="B7" s="194"/>
      <c r="C7" s="194"/>
    </row>
    <row r="8" spans="1:4" ht="16.5" thickBot="1" x14ac:dyDescent="0.3"/>
    <row r="9" spans="1:4" ht="16.5" thickBot="1" x14ac:dyDescent="0.3">
      <c r="A9" s="27">
        <v>1</v>
      </c>
      <c r="B9" s="28" t="s">
        <v>40</v>
      </c>
      <c r="C9" s="28" t="s">
        <v>41</v>
      </c>
    </row>
    <row r="10" spans="1:4" ht="16.5" thickBot="1" x14ac:dyDescent="0.3">
      <c r="A10" s="29" t="s">
        <v>42</v>
      </c>
      <c r="B10" s="30" t="s">
        <v>43</v>
      </c>
      <c r="C10" s="43">
        <v>1912.33</v>
      </c>
    </row>
    <row r="11" spans="1:4" ht="16.5" thickBot="1" x14ac:dyDescent="0.3">
      <c r="A11" s="29" t="s">
        <v>44</v>
      </c>
      <c r="B11" s="30" t="s">
        <v>45</v>
      </c>
      <c r="C11" s="43"/>
    </row>
    <row r="12" spans="1:4" ht="16.5" thickBot="1" x14ac:dyDescent="0.3">
      <c r="A12" s="29" t="s">
        <v>46</v>
      </c>
      <c r="B12" s="30" t="s">
        <v>47</v>
      </c>
      <c r="C12" s="81"/>
    </row>
    <row r="13" spans="1:4" ht="16.5" thickBot="1" x14ac:dyDescent="0.3">
      <c r="A13" s="29" t="s">
        <v>48</v>
      </c>
      <c r="B13" s="58" t="s">
        <v>4</v>
      </c>
      <c r="C13" s="82"/>
    </row>
    <row r="14" spans="1:4" ht="16.5" thickBot="1" x14ac:dyDescent="0.3">
      <c r="A14" s="29" t="s">
        <v>49</v>
      </c>
      <c r="B14" s="58" t="s">
        <v>50</v>
      </c>
      <c r="C14" s="82"/>
    </row>
    <row r="15" spans="1:4" ht="16.5" thickBot="1" x14ac:dyDescent="0.3">
      <c r="A15" s="29" t="s">
        <v>51</v>
      </c>
      <c r="B15" s="58"/>
      <c r="C15" s="55"/>
    </row>
    <row r="16" spans="1:4" ht="16.5" thickBot="1" x14ac:dyDescent="0.3">
      <c r="A16" s="29" t="s">
        <v>52</v>
      </c>
      <c r="B16" s="58" t="s">
        <v>53</v>
      </c>
      <c r="C16" s="82"/>
    </row>
    <row r="17" spans="1:4" ht="16.5" thickBot="1" x14ac:dyDescent="0.3">
      <c r="A17" s="183" t="s">
        <v>5</v>
      </c>
      <c r="B17" s="184"/>
      <c r="C17" s="62">
        <f>SUM(C10:C16)</f>
        <v>1912.33</v>
      </c>
    </row>
    <row r="18" spans="1:4" x14ac:dyDescent="0.25">
      <c r="A18" s="191"/>
      <c r="B18" s="191"/>
      <c r="C18" s="191"/>
    </row>
    <row r="19" spans="1:4" x14ac:dyDescent="0.25">
      <c r="A19" s="192"/>
      <c r="B19" s="192"/>
      <c r="C19" s="192"/>
    </row>
    <row r="20" spans="1:4" x14ac:dyDescent="0.25">
      <c r="A20" s="185" t="s">
        <v>54</v>
      </c>
      <c r="B20" s="185"/>
      <c r="C20" s="185"/>
    </row>
    <row r="21" spans="1:4" x14ac:dyDescent="0.25">
      <c r="A21" s="26"/>
    </row>
    <row r="22" spans="1:4" x14ac:dyDescent="0.25">
      <c r="A22" s="186" t="s">
        <v>55</v>
      </c>
      <c r="B22" s="186"/>
      <c r="C22" s="186"/>
    </row>
    <row r="23" spans="1:4" ht="16.5" thickBot="1" x14ac:dyDescent="0.3"/>
    <row r="24" spans="1:4" ht="16.5" thickBot="1" x14ac:dyDescent="0.3">
      <c r="A24" s="27" t="s">
        <v>56</v>
      </c>
      <c r="B24" s="28" t="s">
        <v>57</v>
      </c>
      <c r="C24" s="28" t="s">
        <v>63</v>
      </c>
      <c r="D24" s="41" t="s">
        <v>41</v>
      </c>
    </row>
    <row r="25" spans="1:4" ht="16.5" thickBot="1" x14ac:dyDescent="0.3">
      <c r="A25" s="29" t="s">
        <v>42</v>
      </c>
      <c r="B25" s="58" t="s">
        <v>58</v>
      </c>
      <c r="C25" s="54">
        <f>1/12</f>
        <v>8.3333333333333329E-2</v>
      </c>
      <c r="D25" s="59">
        <f>C$17*C25</f>
        <v>159.36083333333332</v>
      </c>
    </row>
    <row r="26" spans="1:4" ht="16.5" thickBot="1" x14ac:dyDescent="0.3">
      <c r="A26" s="29" t="s">
        <v>44</v>
      </c>
      <c r="B26" s="56" t="s">
        <v>59</v>
      </c>
      <c r="C26" s="60">
        <v>0.1111</v>
      </c>
      <c r="D26" s="61">
        <f>C$17*C26</f>
        <v>212.45986300000001</v>
      </c>
    </row>
    <row r="27" spans="1:4" ht="16.5" thickBot="1" x14ac:dyDescent="0.3">
      <c r="A27" s="183" t="s">
        <v>5</v>
      </c>
      <c r="B27" s="184"/>
      <c r="C27" s="63">
        <f>SUM(C25:C26)</f>
        <v>0.19443333333333335</v>
      </c>
      <c r="D27" s="64">
        <f>C$17*C27</f>
        <v>371.82069633333333</v>
      </c>
    </row>
    <row r="30" spans="1:4" ht="32.25" customHeight="1" x14ac:dyDescent="0.25">
      <c r="A30" s="189" t="s">
        <v>60</v>
      </c>
      <c r="B30" s="189"/>
      <c r="C30" s="189"/>
      <c r="D30" s="189"/>
    </row>
    <row r="31" spans="1:4" ht="16.5" thickBot="1" x14ac:dyDescent="0.3"/>
    <row r="32" spans="1:4" ht="16.5" thickBot="1" x14ac:dyDescent="0.3">
      <c r="A32" s="27" t="s">
        <v>61</v>
      </c>
      <c r="B32" s="28" t="s">
        <v>62</v>
      </c>
      <c r="C32" s="28" t="s">
        <v>63</v>
      </c>
      <c r="D32" s="28" t="s">
        <v>41</v>
      </c>
    </row>
    <row r="33" spans="1:4" ht="16.5" thickBot="1" x14ac:dyDescent="0.3">
      <c r="A33" s="29" t="s">
        <v>42</v>
      </c>
      <c r="B33" s="30" t="s">
        <v>64</v>
      </c>
      <c r="C33" s="32">
        <v>0.2</v>
      </c>
      <c r="D33" s="61">
        <f t="shared" ref="D33:D41" si="0">(D$27+C$17)*C33</f>
        <v>456.83013926666666</v>
      </c>
    </row>
    <row r="34" spans="1:4" ht="16.5" thickBot="1" x14ac:dyDescent="0.3">
      <c r="A34" s="29" t="s">
        <v>44</v>
      </c>
      <c r="B34" s="30" t="s">
        <v>65</v>
      </c>
      <c r="C34" s="32">
        <v>2.5000000000000001E-2</v>
      </c>
      <c r="D34" s="61">
        <f t="shared" si="0"/>
        <v>57.103767408333333</v>
      </c>
    </row>
    <row r="35" spans="1:4" ht="16.5" thickBot="1" x14ac:dyDescent="0.3">
      <c r="A35" s="29" t="s">
        <v>46</v>
      </c>
      <c r="B35" s="30" t="s">
        <v>66</v>
      </c>
      <c r="C35" s="166">
        <v>0.01</v>
      </c>
      <c r="D35" s="61">
        <f t="shared" si="0"/>
        <v>22.84150696333333</v>
      </c>
    </row>
    <row r="36" spans="1:4" ht="16.5" thickBot="1" x14ac:dyDescent="0.3">
      <c r="A36" s="29" t="s">
        <v>48</v>
      </c>
      <c r="B36" s="30" t="s">
        <v>67</v>
      </c>
      <c r="C36" s="32">
        <v>1.4999999999999999E-2</v>
      </c>
      <c r="D36" s="61">
        <f t="shared" si="0"/>
        <v>34.262260444999995</v>
      </c>
    </row>
    <row r="37" spans="1:4" ht="16.5" thickBot="1" x14ac:dyDescent="0.3">
      <c r="A37" s="29" t="s">
        <v>49</v>
      </c>
      <c r="B37" s="30" t="s">
        <v>68</v>
      </c>
      <c r="C37" s="32">
        <v>0.01</v>
      </c>
      <c r="D37" s="61">
        <f t="shared" si="0"/>
        <v>22.84150696333333</v>
      </c>
    </row>
    <row r="38" spans="1:4" ht="16.5" thickBot="1" x14ac:dyDescent="0.3">
      <c r="A38" s="29" t="s">
        <v>51</v>
      </c>
      <c r="B38" s="30" t="s">
        <v>7</v>
      </c>
      <c r="C38" s="32">
        <v>6.0000000000000001E-3</v>
      </c>
      <c r="D38" s="61">
        <f t="shared" si="0"/>
        <v>13.704904178</v>
      </c>
    </row>
    <row r="39" spans="1:4" ht="16.5" thickBot="1" x14ac:dyDescent="0.3">
      <c r="A39" s="29" t="s">
        <v>52</v>
      </c>
      <c r="B39" s="30" t="s">
        <v>8</v>
      </c>
      <c r="C39" s="32">
        <v>2E-3</v>
      </c>
      <c r="D39" s="61">
        <f t="shared" si="0"/>
        <v>4.5683013926666662</v>
      </c>
    </row>
    <row r="40" spans="1:4" ht="16.5" thickBot="1" x14ac:dyDescent="0.3">
      <c r="A40" s="29" t="s">
        <v>69</v>
      </c>
      <c r="B40" s="30" t="s">
        <v>9</v>
      </c>
      <c r="C40" s="32">
        <v>0.08</v>
      </c>
      <c r="D40" s="61">
        <f t="shared" si="0"/>
        <v>182.73205570666664</v>
      </c>
    </row>
    <row r="41" spans="1:4" ht="16.5" thickBot="1" x14ac:dyDescent="0.3">
      <c r="A41" s="183" t="s">
        <v>70</v>
      </c>
      <c r="B41" s="184"/>
      <c r="C41" s="32">
        <f>SUM(C33:C40)</f>
        <v>0.34800000000000003</v>
      </c>
      <c r="D41" s="61">
        <f t="shared" si="0"/>
        <v>794.88444232400002</v>
      </c>
    </row>
    <row r="44" spans="1:4" x14ac:dyDescent="0.25">
      <c r="A44" s="186" t="s">
        <v>71</v>
      </c>
      <c r="B44" s="186"/>
      <c r="C44" s="186"/>
    </row>
    <row r="45" spans="1:4" ht="16.5" thickBot="1" x14ac:dyDescent="0.3"/>
    <row r="46" spans="1:4" ht="16.5" thickBot="1" x14ac:dyDescent="0.3">
      <c r="A46" s="27" t="s">
        <v>72</v>
      </c>
      <c r="B46" s="28" t="s">
        <v>73</v>
      </c>
      <c r="C46" s="28" t="s">
        <v>41</v>
      </c>
    </row>
    <row r="47" spans="1:4" ht="16.5" thickBot="1" x14ac:dyDescent="0.3">
      <c r="A47" s="29" t="s">
        <v>42</v>
      </c>
      <c r="B47" s="30" t="s">
        <v>74</v>
      </c>
      <c r="C47" s="43">
        <v>0</v>
      </c>
    </row>
    <row r="48" spans="1:4" ht="16.5" thickBot="1" x14ac:dyDescent="0.3">
      <c r="A48" s="29" t="s">
        <v>44</v>
      </c>
      <c r="B48" s="30" t="s">
        <v>120</v>
      </c>
      <c r="C48" s="43">
        <f>'Planilha de Apoio'!D25</f>
        <v>389.18</v>
      </c>
    </row>
    <row r="49" spans="1:3" ht="16.5" thickBot="1" x14ac:dyDescent="0.3">
      <c r="A49" s="29" t="s">
        <v>46</v>
      </c>
      <c r="B49" s="30" t="s">
        <v>131</v>
      </c>
      <c r="C49" s="43">
        <v>0</v>
      </c>
    </row>
    <row r="50" spans="1:3" ht="16.5" thickBot="1" x14ac:dyDescent="0.3">
      <c r="A50" s="71" t="s">
        <v>48</v>
      </c>
      <c r="B50" s="70" t="s">
        <v>139</v>
      </c>
      <c r="C50" s="43">
        <f>'Planilha de Apoio'!D29</f>
        <v>129.72999999999999</v>
      </c>
    </row>
    <row r="51" spans="1:3" ht="16.5" thickBot="1" x14ac:dyDescent="0.3">
      <c r="A51" s="71" t="s">
        <v>49</v>
      </c>
      <c r="B51" s="57" t="s">
        <v>137</v>
      </c>
      <c r="C51" s="43">
        <f>'Planilha de Apoio'!E5</f>
        <v>4667.7</v>
      </c>
    </row>
    <row r="52" spans="1:3" ht="16.5" thickBot="1" x14ac:dyDescent="0.3">
      <c r="A52" s="196" t="s">
        <v>5</v>
      </c>
      <c r="B52" s="197"/>
      <c r="C52" s="43">
        <f>SUM(C47:C51)</f>
        <v>5186.6099999999997</v>
      </c>
    </row>
    <row r="55" spans="1:3" x14ac:dyDescent="0.25">
      <c r="A55" s="186" t="s">
        <v>75</v>
      </c>
      <c r="B55" s="186"/>
      <c r="C55" s="186"/>
    </row>
    <row r="56" spans="1:3" ht="16.5" thickBot="1" x14ac:dyDescent="0.3"/>
    <row r="57" spans="1:3" ht="16.5" thickBot="1" x14ac:dyDescent="0.3">
      <c r="A57" s="27">
        <v>2</v>
      </c>
      <c r="B57" s="28" t="s">
        <v>76</v>
      </c>
      <c r="C57" s="28" t="s">
        <v>41</v>
      </c>
    </row>
    <row r="58" spans="1:3" ht="16.5" thickBot="1" x14ac:dyDescent="0.3">
      <c r="A58" s="29" t="s">
        <v>56</v>
      </c>
      <c r="B58" s="30" t="s">
        <v>57</v>
      </c>
      <c r="C58" s="43">
        <f>D27</f>
        <v>371.82069633333333</v>
      </c>
    </row>
    <row r="59" spans="1:3" ht="16.5" thickBot="1" x14ac:dyDescent="0.3">
      <c r="A59" s="29" t="s">
        <v>61</v>
      </c>
      <c r="B59" s="30" t="s">
        <v>62</v>
      </c>
      <c r="C59" s="43">
        <f>D41</f>
        <v>794.88444232400002</v>
      </c>
    </row>
    <row r="60" spans="1:3" ht="16.5" thickBot="1" x14ac:dyDescent="0.3">
      <c r="A60" s="29" t="s">
        <v>72</v>
      </c>
      <c r="B60" s="30" t="s">
        <v>73</v>
      </c>
      <c r="C60" s="43">
        <f>C52</f>
        <v>5186.6099999999997</v>
      </c>
    </row>
    <row r="61" spans="1:3" ht="16.5" thickBot="1" x14ac:dyDescent="0.3">
      <c r="A61" s="183" t="s">
        <v>5</v>
      </c>
      <c r="B61" s="184"/>
      <c r="C61" s="43">
        <f>SUM(C58:C60)</f>
        <v>6353.3151386573336</v>
      </c>
    </row>
    <row r="62" spans="1:3" x14ac:dyDescent="0.25">
      <c r="A62" s="6"/>
    </row>
    <row r="64" spans="1:3" x14ac:dyDescent="0.25">
      <c r="A64" s="185" t="s">
        <v>77</v>
      </c>
      <c r="B64" s="185"/>
      <c r="C64" s="185"/>
    </row>
    <row r="65" spans="1:4" ht="16.5" thickBot="1" x14ac:dyDescent="0.3"/>
    <row r="66" spans="1:4" ht="16.5" thickBot="1" x14ac:dyDescent="0.3">
      <c r="A66" s="27">
        <v>3</v>
      </c>
      <c r="B66" s="28" t="s">
        <v>78</v>
      </c>
      <c r="C66" s="41" t="s">
        <v>63</v>
      </c>
      <c r="D66" s="41" t="s">
        <v>41</v>
      </c>
    </row>
    <row r="67" spans="1:4" ht="16.5" thickBot="1" x14ac:dyDescent="0.3">
      <c r="A67" s="29" t="s">
        <v>42</v>
      </c>
      <c r="B67" s="33" t="s">
        <v>79</v>
      </c>
      <c r="C67" s="51">
        <v>4.1999999999999997E-3</v>
      </c>
      <c r="D67" s="43">
        <f>(C$17)*C67</f>
        <v>8.0317859999999985</v>
      </c>
    </row>
    <row r="68" spans="1:4" ht="16.5" thickBot="1" x14ac:dyDescent="0.3">
      <c r="A68" s="29" t="s">
        <v>44</v>
      </c>
      <c r="B68" s="49" t="s">
        <v>80</v>
      </c>
      <c r="C68" s="52">
        <f>C67*8%</f>
        <v>3.3599999999999998E-4</v>
      </c>
      <c r="D68" s="43">
        <f t="shared" ref="D68:D73" si="1">(C$17)*C68</f>
        <v>0.64254287999999993</v>
      </c>
    </row>
    <row r="69" spans="1:4" ht="16.5" thickBot="1" x14ac:dyDescent="0.3">
      <c r="A69" s="29" t="s">
        <v>46</v>
      </c>
      <c r="B69" s="33" t="s">
        <v>81</v>
      </c>
      <c r="C69" s="50">
        <v>4.3499999999999997E-2</v>
      </c>
      <c r="D69" s="43">
        <f t="shared" si="1"/>
        <v>83.186354999999992</v>
      </c>
    </row>
    <row r="70" spans="1:4" ht="16.5" thickBot="1" x14ac:dyDescent="0.3">
      <c r="A70" s="29" t="s">
        <v>48</v>
      </c>
      <c r="B70" s="33" t="s">
        <v>82</v>
      </c>
      <c r="C70" s="53">
        <v>1.9400000000000001E-2</v>
      </c>
      <c r="D70" s="43">
        <f t="shared" si="1"/>
        <v>37.099201999999998</v>
      </c>
    </row>
    <row r="71" spans="1:4" ht="16.5" thickBot="1" x14ac:dyDescent="0.3">
      <c r="A71" s="29" t="s">
        <v>49</v>
      </c>
      <c r="B71" s="33" t="s">
        <v>83</v>
      </c>
      <c r="C71" s="50">
        <v>7.0000000000000001E-3</v>
      </c>
      <c r="D71" s="43">
        <f t="shared" si="1"/>
        <v>13.38631</v>
      </c>
    </row>
    <row r="72" spans="1:4" ht="16.5" thickBot="1" x14ac:dyDescent="0.3">
      <c r="A72" s="29" t="s">
        <v>51</v>
      </c>
      <c r="B72" s="33" t="s">
        <v>84</v>
      </c>
      <c r="C72" s="50">
        <v>8.0000000000000004E-4</v>
      </c>
      <c r="D72" s="43">
        <f t="shared" si="1"/>
        <v>1.5298640000000001</v>
      </c>
    </row>
    <row r="73" spans="1:4" ht="16.5" thickBot="1" x14ac:dyDescent="0.3">
      <c r="A73" s="183" t="s">
        <v>5</v>
      </c>
      <c r="B73" s="184"/>
      <c r="C73" s="50">
        <f>SUM(C67:C72)</f>
        <v>7.5235999999999997E-2</v>
      </c>
      <c r="D73" s="43">
        <f t="shared" si="1"/>
        <v>143.87605987999999</v>
      </c>
    </row>
    <row r="76" spans="1:4" x14ac:dyDescent="0.25">
      <c r="A76" s="185" t="s">
        <v>85</v>
      </c>
      <c r="B76" s="185"/>
      <c r="C76" s="185"/>
    </row>
    <row r="79" spans="1:4" x14ac:dyDescent="0.25">
      <c r="A79" s="186" t="s">
        <v>86</v>
      </c>
      <c r="B79" s="186"/>
      <c r="C79" s="186"/>
    </row>
    <row r="80" spans="1:4" ht="16.5" thickBot="1" x14ac:dyDescent="0.3">
      <c r="A80" s="26"/>
    </row>
    <row r="81" spans="1:4" ht="16.5" thickBot="1" x14ac:dyDescent="0.3">
      <c r="A81" s="27" t="s">
        <v>87</v>
      </c>
      <c r="B81" s="28" t="s">
        <v>88</v>
      </c>
      <c r="C81" s="41" t="s">
        <v>63</v>
      </c>
      <c r="D81" s="41" t="s">
        <v>41</v>
      </c>
    </row>
    <row r="82" spans="1:4" ht="16.5" thickBot="1" x14ac:dyDescent="0.3">
      <c r="A82" s="29" t="s">
        <v>42</v>
      </c>
      <c r="B82" s="30" t="s">
        <v>6</v>
      </c>
      <c r="C82" s="50">
        <v>8.3299999999999999E-2</v>
      </c>
      <c r="D82" s="43">
        <f>(C$17)*C82</f>
        <v>159.297089</v>
      </c>
    </row>
    <row r="83" spans="1:4" ht="16.5" thickBot="1" x14ac:dyDescent="0.3">
      <c r="A83" s="29" t="s">
        <v>44</v>
      </c>
      <c r="B83" s="30" t="s">
        <v>88</v>
      </c>
      <c r="C83" s="50">
        <v>8.2000000000000007E-3</v>
      </c>
      <c r="D83" s="43">
        <f t="shared" ref="D83:D88" si="2">(C$17)*C83</f>
        <v>15.681106000000002</v>
      </c>
    </row>
    <row r="84" spans="1:4" ht="16.5" thickBot="1" x14ac:dyDescent="0.3">
      <c r="A84" s="29" t="s">
        <v>46</v>
      </c>
      <c r="B84" s="30" t="s">
        <v>89</v>
      </c>
      <c r="C84" s="50">
        <v>2.0000000000000001E-4</v>
      </c>
      <c r="D84" s="43">
        <f t="shared" si="2"/>
        <v>0.38246600000000003</v>
      </c>
    </row>
    <row r="85" spans="1:4" ht="16.5" thickBot="1" x14ac:dyDescent="0.3">
      <c r="A85" s="29" t="s">
        <v>48</v>
      </c>
      <c r="B85" s="30" t="s">
        <v>90</v>
      </c>
      <c r="C85" s="50">
        <v>2.9999999999999997E-4</v>
      </c>
      <c r="D85" s="43">
        <f t="shared" si="2"/>
        <v>0.57369899999999996</v>
      </c>
    </row>
    <row r="86" spans="1:4" ht="16.5" thickBot="1" x14ac:dyDescent="0.3">
      <c r="A86" s="29" t="s">
        <v>49</v>
      </c>
      <c r="B86" s="30" t="s">
        <v>91</v>
      </c>
      <c r="C86" s="50">
        <v>6.1000000000000004E-3</v>
      </c>
      <c r="D86" s="43">
        <f t="shared" si="2"/>
        <v>11.665213</v>
      </c>
    </row>
    <row r="87" spans="1:4" ht="16.5" thickBot="1" x14ac:dyDescent="0.3">
      <c r="A87" s="29" t="s">
        <v>51</v>
      </c>
      <c r="B87" s="30" t="s">
        <v>53</v>
      </c>
      <c r="C87" s="50">
        <v>0</v>
      </c>
      <c r="D87" s="43">
        <f t="shared" si="2"/>
        <v>0</v>
      </c>
    </row>
    <row r="88" spans="1:4" ht="16.5" thickBot="1" x14ac:dyDescent="0.3">
      <c r="A88" s="183" t="s">
        <v>70</v>
      </c>
      <c r="B88" s="184"/>
      <c r="C88" s="50">
        <v>9.8100000000000007E-2</v>
      </c>
      <c r="D88" s="43">
        <f t="shared" si="2"/>
        <v>187.59957299999999</v>
      </c>
    </row>
    <row r="91" spans="1:4" x14ac:dyDescent="0.25">
      <c r="A91" s="186" t="s">
        <v>92</v>
      </c>
      <c r="B91" s="186"/>
      <c r="C91" s="186"/>
    </row>
    <row r="92" spans="1:4" ht="16.5" thickBot="1" x14ac:dyDescent="0.3">
      <c r="A92" s="26"/>
    </row>
    <row r="93" spans="1:4" ht="16.5" thickBot="1" x14ac:dyDescent="0.3">
      <c r="A93" s="27" t="s">
        <v>93</v>
      </c>
      <c r="B93" s="28" t="s">
        <v>94</v>
      </c>
      <c r="C93" s="28" t="s">
        <v>41</v>
      </c>
    </row>
    <row r="94" spans="1:4" ht="16.5" thickBot="1" x14ac:dyDescent="0.3">
      <c r="A94" s="29" t="s">
        <v>42</v>
      </c>
      <c r="B94" s="30" t="s">
        <v>110</v>
      </c>
      <c r="C94" s="31"/>
    </row>
    <row r="95" spans="1:4" ht="16.5" thickBot="1" x14ac:dyDescent="0.3">
      <c r="A95" s="183" t="s">
        <v>5</v>
      </c>
      <c r="B95" s="184"/>
      <c r="C95" s="31"/>
    </row>
    <row r="98" spans="1:3" x14ac:dyDescent="0.25">
      <c r="A98" s="186" t="s">
        <v>95</v>
      </c>
      <c r="B98" s="186"/>
      <c r="C98" s="186"/>
    </row>
    <row r="99" spans="1:3" ht="16.5" thickBot="1" x14ac:dyDescent="0.3">
      <c r="A99" s="26"/>
    </row>
    <row r="100" spans="1:3" ht="16.5" thickBot="1" x14ac:dyDescent="0.3">
      <c r="A100" s="27">
        <v>4</v>
      </c>
      <c r="B100" s="28" t="s">
        <v>96</v>
      </c>
      <c r="C100" s="28" t="s">
        <v>41</v>
      </c>
    </row>
    <row r="101" spans="1:3" ht="16.5" thickBot="1" x14ac:dyDescent="0.3">
      <c r="A101" s="29" t="s">
        <v>87</v>
      </c>
      <c r="B101" s="30" t="s">
        <v>88</v>
      </c>
      <c r="C101" s="43">
        <f>D88</f>
        <v>187.59957299999999</v>
      </c>
    </row>
    <row r="102" spans="1:3" ht="16.5" thickBot="1" x14ac:dyDescent="0.3">
      <c r="A102" s="29" t="s">
        <v>93</v>
      </c>
      <c r="B102" s="30" t="s">
        <v>94</v>
      </c>
      <c r="C102" s="43">
        <f>C95</f>
        <v>0</v>
      </c>
    </row>
    <row r="103" spans="1:3" ht="16.5" thickBot="1" x14ac:dyDescent="0.3">
      <c r="A103" s="183" t="s">
        <v>5</v>
      </c>
      <c r="B103" s="184"/>
      <c r="C103" s="62">
        <f>C101+C102</f>
        <v>187.59957299999999</v>
      </c>
    </row>
    <row r="106" spans="1:3" x14ac:dyDescent="0.25">
      <c r="A106" s="185" t="s">
        <v>97</v>
      </c>
      <c r="B106" s="185"/>
      <c r="C106" s="185"/>
    </row>
    <row r="107" spans="1:3" ht="16.5" thickBot="1" x14ac:dyDescent="0.3"/>
    <row r="108" spans="1:3" ht="16.5" thickBot="1" x14ac:dyDescent="0.3">
      <c r="A108" s="27">
        <v>5</v>
      </c>
      <c r="B108" s="34" t="s">
        <v>24</v>
      </c>
      <c r="C108" s="28" t="s">
        <v>41</v>
      </c>
    </row>
    <row r="109" spans="1:3" ht="16.5" thickBot="1" x14ac:dyDescent="0.3">
      <c r="A109" s="29" t="s">
        <v>42</v>
      </c>
      <c r="B109" s="30" t="s">
        <v>98</v>
      </c>
      <c r="C109" s="43">
        <f>'Planilha de Apoio'!C42</f>
        <v>86.948888888888902</v>
      </c>
    </row>
    <row r="110" spans="1:3" ht="16.5" thickBot="1" x14ac:dyDescent="0.3">
      <c r="A110" s="29" t="s">
        <v>44</v>
      </c>
      <c r="B110" s="30" t="s">
        <v>588</v>
      </c>
      <c r="C110" s="43">
        <f>'Planilha de Apoio'!G148</f>
        <v>204.45263458333329</v>
      </c>
    </row>
    <row r="111" spans="1:3" ht="16.5" thickBot="1" x14ac:dyDescent="0.3">
      <c r="A111" s="29" t="s">
        <v>46</v>
      </c>
      <c r="B111" s="30" t="s">
        <v>190</v>
      </c>
      <c r="C111" s="43">
        <f>'Planilha de Apoio'!G95</f>
        <v>242.22791666666669</v>
      </c>
    </row>
    <row r="112" spans="1:3" ht="16.5" thickBot="1" x14ac:dyDescent="0.3">
      <c r="A112" s="29" t="s">
        <v>48</v>
      </c>
      <c r="B112" s="30" t="s">
        <v>198</v>
      </c>
      <c r="C112" s="43">
        <v>0</v>
      </c>
    </row>
    <row r="113" spans="1:4" ht="16.5" thickBot="1" x14ac:dyDescent="0.3">
      <c r="A113" s="183" t="s">
        <v>70</v>
      </c>
      <c r="B113" s="184"/>
      <c r="C113" s="43">
        <f>SUM(C109:C112)</f>
        <v>533.62944013888887</v>
      </c>
    </row>
    <row r="116" spans="1:4" x14ac:dyDescent="0.25">
      <c r="A116" s="185" t="s">
        <v>101</v>
      </c>
      <c r="B116" s="185"/>
      <c r="C116" s="185"/>
    </row>
    <row r="117" spans="1:4" ht="16.5" thickBot="1" x14ac:dyDescent="0.3"/>
    <row r="118" spans="1:4" ht="16.5" thickBot="1" x14ac:dyDescent="0.3">
      <c r="A118" s="27">
        <v>6</v>
      </c>
      <c r="B118" s="34" t="s">
        <v>25</v>
      </c>
      <c r="C118" s="28" t="s">
        <v>63</v>
      </c>
      <c r="D118" s="28" t="s">
        <v>41</v>
      </c>
    </row>
    <row r="119" spans="1:4" ht="16.5" thickBot="1" x14ac:dyDescent="0.3">
      <c r="A119" s="29" t="s">
        <v>42</v>
      </c>
      <c r="B119" s="66" t="s">
        <v>26</v>
      </c>
      <c r="C119" s="165">
        <v>9.0999999999999998E-2</v>
      </c>
      <c r="D119" s="68">
        <f>C119*C138</f>
        <v>830.89826926253625</v>
      </c>
    </row>
    <row r="120" spans="1:4" ht="16.5" thickBot="1" x14ac:dyDescent="0.3">
      <c r="A120" s="29" t="s">
        <v>44</v>
      </c>
      <c r="B120" s="66" t="s">
        <v>28</v>
      </c>
      <c r="C120" s="165">
        <v>5.8999999999999997E-2</v>
      </c>
      <c r="D120" s="68">
        <f>C120*(C138+D119)</f>
        <v>587.73726037538677</v>
      </c>
    </row>
    <row r="121" spans="1:4" ht="16.5" thickBot="1" x14ac:dyDescent="0.3">
      <c r="A121" s="29" t="s">
        <v>46</v>
      </c>
      <c r="B121" s="30" t="s">
        <v>27</v>
      </c>
      <c r="C121" s="32"/>
      <c r="D121" s="43">
        <f>(C$17+C$61+D$73+C$103+C$113)*C121</f>
        <v>0</v>
      </c>
    </row>
    <row r="122" spans="1:4" ht="16.5" thickBot="1" x14ac:dyDescent="0.3">
      <c r="A122" s="29"/>
      <c r="B122" s="66" t="s">
        <v>114</v>
      </c>
      <c r="C122" s="67">
        <f>C123+C124</f>
        <v>9.2499999999999999E-2</v>
      </c>
      <c r="D122" s="68">
        <f>C122*(C$138+D$119+D$120)</f>
        <v>975.81818107155834</v>
      </c>
    </row>
    <row r="123" spans="1:4" ht="16.5" thickBot="1" x14ac:dyDescent="0.3">
      <c r="A123" s="29"/>
      <c r="B123" s="30" t="s">
        <v>112</v>
      </c>
      <c r="C123" s="166">
        <v>7.5999999999999998E-2</v>
      </c>
      <c r="D123" s="43">
        <f>C123*(C$138+D$119+D$120)</f>
        <v>801.75331633987503</v>
      </c>
    </row>
    <row r="124" spans="1:4" ht="16.5" thickBot="1" x14ac:dyDescent="0.3">
      <c r="A124" s="29"/>
      <c r="B124" s="30" t="s">
        <v>113</v>
      </c>
      <c r="C124" s="166">
        <v>1.6500000000000001E-2</v>
      </c>
      <c r="D124" s="43">
        <f>C124*(C$138+D$119+D$120)</f>
        <v>174.0648647316834</v>
      </c>
    </row>
    <row r="125" spans="1:4" ht="16.5" thickBot="1" x14ac:dyDescent="0.3">
      <c r="A125" s="29"/>
      <c r="B125" s="66" t="s">
        <v>115</v>
      </c>
      <c r="C125" s="67">
        <v>0</v>
      </c>
      <c r="D125" s="68">
        <f>C125*(C$138+D$119+D$120)</f>
        <v>0</v>
      </c>
    </row>
    <row r="126" spans="1:4" ht="16.5" thickBot="1" x14ac:dyDescent="0.3">
      <c r="A126" s="29"/>
      <c r="B126" s="66" t="s">
        <v>116</v>
      </c>
      <c r="C126" s="166">
        <v>0.03</v>
      </c>
      <c r="D126" s="68">
        <f>C126*(C$138+D$119+D$120)</f>
        <v>316.48157223942434</v>
      </c>
    </row>
    <row r="127" spans="1:4" ht="16.5" thickBot="1" x14ac:dyDescent="0.3">
      <c r="A127" s="187" t="s">
        <v>70</v>
      </c>
      <c r="B127" s="188"/>
      <c r="C127" s="67">
        <f>C119+C120+C122+C125+C126</f>
        <v>0.27249999999999996</v>
      </c>
      <c r="D127" s="68">
        <f>D119+D120+D122+D125+D126</f>
        <v>2710.9352829489053</v>
      </c>
    </row>
    <row r="130" spans="1:3" x14ac:dyDescent="0.25">
      <c r="A130" s="185" t="s">
        <v>102</v>
      </c>
      <c r="B130" s="185"/>
      <c r="C130" s="185"/>
    </row>
    <row r="131" spans="1:3" ht="16.5" thickBot="1" x14ac:dyDescent="0.3"/>
    <row r="132" spans="1:3" ht="16.5" thickBot="1" x14ac:dyDescent="0.3">
      <c r="A132" s="27"/>
      <c r="B132" s="28" t="s">
        <v>103</v>
      </c>
      <c r="C132" s="28" t="s">
        <v>41</v>
      </c>
    </row>
    <row r="133" spans="1:3" ht="16.5" thickBot="1" x14ac:dyDescent="0.3">
      <c r="A133" s="36" t="s">
        <v>42</v>
      </c>
      <c r="B133" s="30" t="s">
        <v>39</v>
      </c>
      <c r="C133" s="65">
        <f>C17</f>
        <v>1912.33</v>
      </c>
    </row>
    <row r="134" spans="1:3" ht="16.5" thickBot="1" x14ac:dyDescent="0.3">
      <c r="A134" s="36" t="s">
        <v>44</v>
      </c>
      <c r="B134" s="30" t="s">
        <v>54</v>
      </c>
      <c r="C134" s="65">
        <f>C61</f>
        <v>6353.3151386573336</v>
      </c>
    </row>
    <row r="135" spans="1:3" ht="16.5" thickBot="1" x14ac:dyDescent="0.3">
      <c r="A135" s="36" t="s">
        <v>46</v>
      </c>
      <c r="B135" s="30" t="s">
        <v>77</v>
      </c>
      <c r="C135" s="65">
        <f>D73</f>
        <v>143.87605987999999</v>
      </c>
    </row>
    <row r="136" spans="1:3" ht="16.5" thickBot="1" x14ac:dyDescent="0.3">
      <c r="A136" s="36" t="s">
        <v>48</v>
      </c>
      <c r="B136" s="30" t="s">
        <v>85</v>
      </c>
      <c r="C136" s="65">
        <f>D88</f>
        <v>187.59957299999999</v>
      </c>
    </row>
    <row r="137" spans="1:3" ht="16.5" thickBot="1" x14ac:dyDescent="0.3">
      <c r="A137" s="36" t="s">
        <v>49</v>
      </c>
      <c r="B137" s="30" t="s">
        <v>97</v>
      </c>
      <c r="C137" s="65">
        <f>C113</f>
        <v>533.62944013888887</v>
      </c>
    </row>
    <row r="138" spans="1:3" ht="16.5" customHeight="1" thickBot="1" x14ac:dyDescent="0.3">
      <c r="A138" s="183" t="s">
        <v>104</v>
      </c>
      <c r="B138" s="184"/>
      <c r="C138" s="65">
        <f>SUM(C133:C137)</f>
        <v>9130.7502116762225</v>
      </c>
    </row>
    <row r="139" spans="1:3" ht="16.5" thickBot="1" x14ac:dyDescent="0.3">
      <c r="A139" s="36" t="s">
        <v>51</v>
      </c>
      <c r="B139" s="30" t="s">
        <v>105</v>
      </c>
      <c r="C139" s="65">
        <f>D127</f>
        <v>2710.9352829489053</v>
      </c>
    </row>
    <row r="140" spans="1:3" ht="16.5" customHeight="1" thickBot="1" x14ac:dyDescent="0.3">
      <c r="A140" s="183" t="s">
        <v>254</v>
      </c>
      <c r="B140" s="184"/>
      <c r="C140" s="69">
        <f>C138+C139</f>
        <v>11841.685494625128</v>
      </c>
    </row>
    <row r="142" spans="1:3" x14ac:dyDescent="0.25">
      <c r="B142" s="167" t="s">
        <v>265</v>
      </c>
      <c r="C142" s="168">
        <f>C140*12</f>
        <v>142100.22593550154</v>
      </c>
    </row>
  </sheetData>
  <mergeCells count="34">
    <mergeCell ref="A44:C44"/>
    <mergeCell ref="A41:B41"/>
    <mergeCell ref="A73:B73"/>
    <mergeCell ref="A64:C64"/>
    <mergeCell ref="A61:B61"/>
    <mergeCell ref="A55:C55"/>
    <mergeCell ref="A52:B52"/>
    <mergeCell ref="A1:D1"/>
    <mergeCell ref="A2:D2"/>
    <mergeCell ref="A17:B17"/>
    <mergeCell ref="A7:C7"/>
    <mergeCell ref="A20:C20"/>
    <mergeCell ref="A3:D3"/>
    <mergeCell ref="A30:D30"/>
    <mergeCell ref="A22:C22"/>
    <mergeCell ref="B4:C4"/>
    <mergeCell ref="B5:C5"/>
    <mergeCell ref="B6:C6"/>
    <mergeCell ref="A27:B27"/>
    <mergeCell ref="A18:C19"/>
    <mergeCell ref="A140:B140"/>
    <mergeCell ref="A130:C130"/>
    <mergeCell ref="A76:C76"/>
    <mergeCell ref="A88:B88"/>
    <mergeCell ref="A79:C79"/>
    <mergeCell ref="A95:B95"/>
    <mergeCell ref="A91:C91"/>
    <mergeCell ref="A103:B103"/>
    <mergeCell ref="A98:C98"/>
    <mergeCell ref="A138:B138"/>
    <mergeCell ref="A127:B127"/>
    <mergeCell ref="A116:C116"/>
    <mergeCell ref="A113:B113"/>
    <mergeCell ref="A106:C106"/>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
  <sheetViews>
    <sheetView showGridLines="0" zoomScaleNormal="100" workbookViewId="0">
      <selection activeCell="C127" sqref="C127"/>
    </sheetView>
  </sheetViews>
  <sheetFormatPr defaultRowHeight="15.75" x14ac:dyDescent="0.25"/>
  <cols>
    <col min="1" max="1" width="16.28515625" style="35" customWidth="1"/>
    <col min="2" max="2" width="73.42578125" style="35" customWidth="1"/>
    <col min="3" max="3" width="18" style="35" customWidth="1"/>
    <col min="4" max="4" width="14.28515625" style="35" customWidth="1"/>
    <col min="5" max="5" width="12.7109375" style="35" customWidth="1"/>
    <col min="6" max="6" width="12" style="35" customWidth="1"/>
    <col min="7" max="7" width="15.140625" style="35" customWidth="1"/>
    <col min="8" max="16384" width="9.140625" style="35"/>
  </cols>
  <sheetData>
    <row r="1" spans="1:4" ht="23.25" x14ac:dyDescent="0.35">
      <c r="A1" s="193" t="s">
        <v>107</v>
      </c>
      <c r="B1" s="193"/>
      <c r="C1" s="193"/>
      <c r="D1" s="193"/>
    </row>
    <row r="2" spans="1:4" ht="23.25" x14ac:dyDescent="0.35">
      <c r="A2" s="193" t="s">
        <v>108</v>
      </c>
      <c r="B2" s="193"/>
      <c r="C2" s="193"/>
      <c r="D2" s="193"/>
    </row>
    <row r="3" spans="1:4" ht="27.75" customHeight="1" x14ac:dyDescent="0.25">
      <c r="A3" s="195" t="s">
        <v>109</v>
      </c>
      <c r="B3" s="195"/>
      <c r="C3" s="195"/>
      <c r="D3" s="195"/>
    </row>
    <row r="4" spans="1:4" x14ac:dyDescent="0.25">
      <c r="A4" s="55" t="s">
        <v>117</v>
      </c>
      <c r="B4" s="190" t="s">
        <v>263</v>
      </c>
      <c r="C4" s="190"/>
    </row>
    <row r="5" spans="1:4" x14ac:dyDescent="0.25">
      <c r="A5" s="55" t="s">
        <v>118</v>
      </c>
      <c r="B5" s="190" t="s">
        <v>589</v>
      </c>
      <c r="C5" s="190"/>
    </row>
    <row r="6" spans="1:4" x14ac:dyDescent="0.25">
      <c r="A6" s="55" t="s">
        <v>119</v>
      </c>
      <c r="B6" s="190" t="s">
        <v>586</v>
      </c>
      <c r="C6" s="190"/>
    </row>
    <row r="7" spans="1:4" x14ac:dyDescent="0.25">
      <c r="A7" s="194" t="s">
        <v>39</v>
      </c>
      <c r="B7" s="194"/>
      <c r="C7" s="194"/>
    </row>
    <row r="8" spans="1:4" ht="16.5" thickBot="1" x14ac:dyDescent="0.3"/>
    <row r="9" spans="1:4" ht="16.5" thickBot="1" x14ac:dyDescent="0.3">
      <c r="A9" s="27">
        <v>1</v>
      </c>
      <c r="B9" s="80" t="s">
        <v>40</v>
      </c>
      <c r="C9" s="80" t="s">
        <v>41</v>
      </c>
    </row>
    <row r="10" spans="1:4" ht="16.5" thickBot="1" x14ac:dyDescent="0.3">
      <c r="A10" s="29" t="s">
        <v>42</v>
      </c>
      <c r="B10" s="30" t="s">
        <v>43</v>
      </c>
      <c r="C10" s="43">
        <v>1912.33</v>
      </c>
    </row>
    <row r="11" spans="1:4" ht="16.5" thickBot="1" x14ac:dyDescent="0.3">
      <c r="A11" s="29" t="s">
        <v>44</v>
      </c>
      <c r="B11" s="30" t="s">
        <v>45</v>
      </c>
      <c r="C11" s="43"/>
    </row>
    <row r="12" spans="1:4" ht="16.5" thickBot="1" x14ac:dyDescent="0.3">
      <c r="A12" s="29" t="s">
        <v>46</v>
      </c>
      <c r="B12" s="30" t="s">
        <v>47</v>
      </c>
      <c r="C12" s="43"/>
    </row>
    <row r="13" spans="1:4" ht="16.5" thickBot="1" x14ac:dyDescent="0.3">
      <c r="A13" s="29" t="s">
        <v>48</v>
      </c>
      <c r="B13" s="30" t="s">
        <v>4</v>
      </c>
      <c r="C13" s="43"/>
    </row>
    <row r="14" spans="1:4" ht="16.5" thickBot="1" x14ac:dyDescent="0.3">
      <c r="A14" s="29" t="s">
        <v>49</v>
      </c>
      <c r="B14" s="30" t="s">
        <v>50</v>
      </c>
      <c r="C14" s="81"/>
    </row>
    <row r="15" spans="1:4" ht="16.5" thickBot="1" x14ac:dyDescent="0.3">
      <c r="A15" s="29" t="s">
        <v>51</v>
      </c>
      <c r="B15" s="58"/>
      <c r="C15" s="55"/>
    </row>
    <row r="16" spans="1:4" ht="16.5" thickBot="1" x14ac:dyDescent="0.3">
      <c r="A16" s="29" t="s">
        <v>52</v>
      </c>
      <c r="B16" s="58" t="s">
        <v>53</v>
      </c>
      <c r="C16" s="82"/>
    </row>
    <row r="17" spans="1:4" ht="16.5" thickBot="1" x14ac:dyDescent="0.3">
      <c r="A17" s="183" t="s">
        <v>5</v>
      </c>
      <c r="B17" s="184"/>
      <c r="C17" s="62">
        <f>SUM(C10:C16)</f>
        <v>1912.33</v>
      </c>
    </row>
    <row r="18" spans="1:4" x14ac:dyDescent="0.25">
      <c r="A18" s="191"/>
      <c r="B18" s="191"/>
      <c r="C18" s="191"/>
    </row>
    <row r="19" spans="1:4" x14ac:dyDescent="0.25">
      <c r="A19" s="192"/>
      <c r="B19" s="192"/>
      <c r="C19" s="192"/>
    </row>
    <row r="20" spans="1:4" x14ac:dyDescent="0.25">
      <c r="A20" s="185" t="s">
        <v>54</v>
      </c>
      <c r="B20" s="185"/>
      <c r="C20" s="185"/>
    </row>
    <row r="21" spans="1:4" x14ac:dyDescent="0.25">
      <c r="A21" s="26"/>
    </row>
    <row r="22" spans="1:4" x14ac:dyDescent="0.25">
      <c r="A22" s="186" t="s">
        <v>55</v>
      </c>
      <c r="B22" s="186"/>
      <c r="C22" s="186"/>
    </row>
    <row r="23" spans="1:4" ht="16.5" thickBot="1" x14ac:dyDescent="0.3"/>
    <row r="24" spans="1:4" ht="16.5" thickBot="1" x14ac:dyDescent="0.3">
      <c r="A24" s="27" t="s">
        <v>56</v>
      </c>
      <c r="B24" s="80" t="s">
        <v>57</v>
      </c>
      <c r="C24" s="80" t="s">
        <v>63</v>
      </c>
      <c r="D24" s="80" t="s">
        <v>41</v>
      </c>
    </row>
    <row r="25" spans="1:4" ht="16.5" thickBot="1" x14ac:dyDescent="0.3">
      <c r="A25" s="29" t="s">
        <v>42</v>
      </c>
      <c r="B25" s="58" t="s">
        <v>58</v>
      </c>
      <c r="C25" s="54">
        <f>1/12</f>
        <v>8.3333333333333329E-2</v>
      </c>
      <c r="D25" s="59">
        <f>C$17*C25</f>
        <v>159.36083333333332</v>
      </c>
    </row>
    <row r="26" spans="1:4" ht="16.5" thickBot="1" x14ac:dyDescent="0.3">
      <c r="A26" s="29" t="s">
        <v>44</v>
      </c>
      <c r="B26" s="56" t="s">
        <v>59</v>
      </c>
      <c r="C26" s="60">
        <v>0.1111</v>
      </c>
      <c r="D26" s="61">
        <f>C$17*C26</f>
        <v>212.45986300000001</v>
      </c>
    </row>
    <row r="27" spans="1:4" ht="16.5" thickBot="1" x14ac:dyDescent="0.3">
      <c r="A27" s="183" t="s">
        <v>5</v>
      </c>
      <c r="B27" s="184"/>
      <c r="C27" s="63">
        <f>SUM(C25:C26)</f>
        <v>0.19443333333333335</v>
      </c>
      <c r="D27" s="64">
        <f>C$17*C27</f>
        <v>371.82069633333333</v>
      </c>
    </row>
    <row r="30" spans="1:4" ht="32.25" customHeight="1" x14ac:dyDescent="0.25">
      <c r="A30" s="189" t="s">
        <v>60</v>
      </c>
      <c r="B30" s="189"/>
      <c r="C30" s="189"/>
      <c r="D30" s="189"/>
    </row>
    <row r="31" spans="1:4" ht="16.5" thickBot="1" x14ac:dyDescent="0.3"/>
    <row r="32" spans="1:4" ht="16.5" thickBot="1" x14ac:dyDescent="0.3">
      <c r="A32" s="27" t="s">
        <v>61</v>
      </c>
      <c r="B32" s="80" t="s">
        <v>62</v>
      </c>
      <c r="C32" s="80" t="s">
        <v>63</v>
      </c>
      <c r="D32" s="80" t="s">
        <v>41</v>
      </c>
    </row>
    <row r="33" spans="1:4" ht="16.5" thickBot="1" x14ac:dyDescent="0.3">
      <c r="A33" s="29" t="s">
        <v>42</v>
      </c>
      <c r="B33" s="30" t="s">
        <v>64</v>
      </c>
      <c r="C33" s="32">
        <v>0.2</v>
      </c>
      <c r="D33" s="61">
        <f t="shared" ref="D33:D41" si="0">(D$27+C$17)*C33</f>
        <v>456.83013926666666</v>
      </c>
    </row>
    <row r="34" spans="1:4" ht="16.5" thickBot="1" x14ac:dyDescent="0.3">
      <c r="A34" s="29" t="s">
        <v>44</v>
      </c>
      <c r="B34" s="30" t="s">
        <v>65</v>
      </c>
      <c r="C34" s="32">
        <v>2.5000000000000001E-2</v>
      </c>
      <c r="D34" s="61">
        <f t="shared" si="0"/>
        <v>57.103767408333333</v>
      </c>
    </row>
    <row r="35" spans="1:4" ht="16.5" thickBot="1" x14ac:dyDescent="0.3">
      <c r="A35" s="29" t="s">
        <v>46</v>
      </c>
      <c r="B35" s="30" t="s">
        <v>66</v>
      </c>
      <c r="C35" s="166">
        <v>0.01</v>
      </c>
      <c r="D35" s="61">
        <f t="shared" si="0"/>
        <v>22.84150696333333</v>
      </c>
    </row>
    <row r="36" spans="1:4" ht="16.5" thickBot="1" x14ac:dyDescent="0.3">
      <c r="A36" s="29" t="s">
        <v>48</v>
      </c>
      <c r="B36" s="30" t="s">
        <v>67</v>
      </c>
      <c r="C36" s="32">
        <v>1.4999999999999999E-2</v>
      </c>
      <c r="D36" s="61">
        <f t="shared" si="0"/>
        <v>34.262260444999995</v>
      </c>
    </row>
    <row r="37" spans="1:4" ht="16.5" thickBot="1" x14ac:dyDescent="0.3">
      <c r="A37" s="29" t="s">
        <v>49</v>
      </c>
      <c r="B37" s="30" t="s">
        <v>68</v>
      </c>
      <c r="C37" s="32">
        <v>0.01</v>
      </c>
      <c r="D37" s="61">
        <f t="shared" si="0"/>
        <v>22.84150696333333</v>
      </c>
    </row>
    <row r="38" spans="1:4" ht="16.5" thickBot="1" x14ac:dyDescent="0.3">
      <c r="A38" s="29" t="s">
        <v>51</v>
      </c>
      <c r="B38" s="30" t="s">
        <v>7</v>
      </c>
      <c r="C38" s="32">
        <v>6.0000000000000001E-3</v>
      </c>
      <c r="D38" s="61">
        <f t="shared" si="0"/>
        <v>13.704904178</v>
      </c>
    </row>
    <row r="39" spans="1:4" ht="16.5" thickBot="1" x14ac:dyDescent="0.3">
      <c r="A39" s="29" t="s">
        <v>52</v>
      </c>
      <c r="B39" s="30" t="s">
        <v>8</v>
      </c>
      <c r="C39" s="32">
        <v>2E-3</v>
      </c>
      <c r="D39" s="61">
        <f t="shared" si="0"/>
        <v>4.5683013926666662</v>
      </c>
    </row>
    <row r="40" spans="1:4" ht="16.5" thickBot="1" x14ac:dyDescent="0.3">
      <c r="A40" s="29" t="s">
        <v>69</v>
      </c>
      <c r="B40" s="30" t="s">
        <v>9</v>
      </c>
      <c r="C40" s="32">
        <v>0.08</v>
      </c>
      <c r="D40" s="61">
        <f t="shared" si="0"/>
        <v>182.73205570666664</v>
      </c>
    </row>
    <row r="41" spans="1:4" ht="16.5" thickBot="1" x14ac:dyDescent="0.3">
      <c r="A41" s="183" t="s">
        <v>70</v>
      </c>
      <c r="B41" s="184"/>
      <c r="C41" s="32">
        <f>SUM(C33:C40)</f>
        <v>0.34800000000000003</v>
      </c>
      <c r="D41" s="61">
        <f t="shared" si="0"/>
        <v>794.88444232400002</v>
      </c>
    </row>
    <row r="44" spans="1:4" x14ac:dyDescent="0.25">
      <c r="A44" s="186" t="s">
        <v>71</v>
      </c>
      <c r="B44" s="186"/>
      <c r="C44" s="186"/>
    </row>
    <row r="45" spans="1:4" ht="16.5" thickBot="1" x14ac:dyDescent="0.3"/>
    <row r="46" spans="1:4" ht="16.5" thickBot="1" x14ac:dyDescent="0.3">
      <c r="A46" s="27" t="s">
        <v>72</v>
      </c>
      <c r="B46" s="80" t="s">
        <v>73</v>
      </c>
      <c r="C46" s="80" t="s">
        <v>41</v>
      </c>
    </row>
    <row r="47" spans="1:4" ht="16.5" thickBot="1" x14ac:dyDescent="0.3">
      <c r="A47" s="29" t="s">
        <v>42</v>
      </c>
      <c r="B47" s="30" t="s">
        <v>74</v>
      </c>
      <c r="C47" s="43">
        <f>'Planilha de Apoio'!D20</f>
        <v>114.06020000000002</v>
      </c>
    </row>
    <row r="48" spans="1:4" ht="16.5" thickBot="1" x14ac:dyDescent="0.3">
      <c r="A48" s="29" t="s">
        <v>44</v>
      </c>
      <c r="B48" s="30" t="s">
        <v>120</v>
      </c>
      <c r="C48" s="43">
        <f>'Planilha de Apoio'!D25</f>
        <v>389.18</v>
      </c>
    </row>
    <row r="49" spans="1:3" ht="16.5" thickBot="1" x14ac:dyDescent="0.3">
      <c r="A49" s="29" t="s">
        <v>46</v>
      </c>
      <c r="B49" s="30" t="s">
        <v>131</v>
      </c>
      <c r="C49" s="43">
        <v>0</v>
      </c>
    </row>
    <row r="50" spans="1:3" ht="16.5" thickBot="1" x14ac:dyDescent="0.3">
      <c r="A50" s="71" t="s">
        <v>48</v>
      </c>
      <c r="B50" s="70" t="s">
        <v>121</v>
      </c>
      <c r="C50" s="43">
        <f>'Planilha de Apoio'!D29</f>
        <v>129.72999999999999</v>
      </c>
    </row>
    <row r="51" spans="1:3" ht="23.25" customHeight="1" thickBot="1" x14ac:dyDescent="0.3">
      <c r="A51" s="71" t="s">
        <v>49</v>
      </c>
      <c r="B51" s="57" t="s">
        <v>269</v>
      </c>
      <c r="C51" s="43">
        <f>'Planilha de Apoio'!E6</f>
        <v>777.95</v>
      </c>
    </row>
    <row r="52" spans="1:3" ht="16.5" thickBot="1" x14ac:dyDescent="0.3">
      <c r="A52" s="196" t="s">
        <v>5</v>
      </c>
      <c r="B52" s="197"/>
      <c r="C52" s="43">
        <f>SUM(C47:C51)</f>
        <v>1410.9202</v>
      </c>
    </row>
    <row r="55" spans="1:3" x14ac:dyDescent="0.25">
      <c r="A55" s="186" t="s">
        <v>75</v>
      </c>
      <c r="B55" s="186"/>
      <c r="C55" s="186"/>
    </row>
    <row r="56" spans="1:3" ht="16.5" thickBot="1" x14ac:dyDescent="0.3"/>
    <row r="57" spans="1:3" ht="16.5" thickBot="1" x14ac:dyDescent="0.3">
      <c r="A57" s="27">
        <v>2</v>
      </c>
      <c r="B57" s="80" t="s">
        <v>76</v>
      </c>
      <c r="C57" s="80" t="s">
        <v>41</v>
      </c>
    </row>
    <row r="58" spans="1:3" ht="16.5" thickBot="1" x14ac:dyDescent="0.3">
      <c r="A58" s="29" t="s">
        <v>56</v>
      </c>
      <c r="B58" s="30" t="s">
        <v>57</v>
      </c>
      <c r="C58" s="43">
        <f>D27</f>
        <v>371.82069633333333</v>
      </c>
    </row>
    <row r="59" spans="1:3" ht="16.5" thickBot="1" x14ac:dyDescent="0.3">
      <c r="A59" s="29" t="s">
        <v>61</v>
      </c>
      <c r="B59" s="30" t="s">
        <v>62</v>
      </c>
      <c r="C59" s="43">
        <f>D41</f>
        <v>794.88444232400002</v>
      </c>
    </row>
    <row r="60" spans="1:3" ht="16.5" thickBot="1" x14ac:dyDescent="0.3">
      <c r="A60" s="29" t="s">
        <v>72</v>
      </c>
      <c r="B60" s="30" t="s">
        <v>73</v>
      </c>
      <c r="C60" s="43">
        <f>C52</f>
        <v>1410.9202</v>
      </c>
    </row>
    <row r="61" spans="1:3" ht="16.5" thickBot="1" x14ac:dyDescent="0.3">
      <c r="A61" s="183" t="s">
        <v>5</v>
      </c>
      <c r="B61" s="184"/>
      <c r="C61" s="43">
        <f>SUM(C58:C60)</f>
        <v>2577.6253386573335</v>
      </c>
    </row>
    <row r="62" spans="1:3" x14ac:dyDescent="0.25">
      <c r="A62" s="6"/>
    </row>
    <row r="64" spans="1:3" x14ac:dyDescent="0.25">
      <c r="A64" s="185" t="s">
        <v>77</v>
      </c>
      <c r="B64" s="185"/>
      <c r="C64" s="185"/>
    </row>
    <row r="65" spans="1:4" ht="16.5" thickBot="1" x14ac:dyDescent="0.3"/>
    <row r="66" spans="1:4" ht="16.5" thickBot="1" x14ac:dyDescent="0.3">
      <c r="A66" s="27">
        <v>3</v>
      </c>
      <c r="B66" s="80" t="s">
        <v>78</v>
      </c>
      <c r="C66" s="80" t="s">
        <v>63</v>
      </c>
      <c r="D66" s="80" t="s">
        <v>41</v>
      </c>
    </row>
    <row r="67" spans="1:4" ht="16.5" thickBot="1" x14ac:dyDescent="0.3">
      <c r="A67" s="29" t="s">
        <v>42</v>
      </c>
      <c r="B67" s="33" t="s">
        <v>79</v>
      </c>
      <c r="C67" s="51">
        <v>4.1999999999999997E-3</v>
      </c>
      <c r="D67" s="43">
        <f>(C$17)*C67</f>
        <v>8.0317859999999985</v>
      </c>
    </row>
    <row r="68" spans="1:4" ht="16.5" thickBot="1" x14ac:dyDescent="0.3">
      <c r="A68" s="29" t="s">
        <v>44</v>
      </c>
      <c r="B68" s="49" t="s">
        <v>80</v>
      </c>
      <c r="C68" s="52">
        <f>C67*8%</f>
        <v>3.3599999999999998E-4</v>
      </c>
      <c r="D68" s="43">
        <f t="shared" ref="D68:D73" si="1">(C$17)*C68</f>
        <v>0.64254287999999993</v>
      </c>
    </row>
    <row r="69" spans="1:4" ht="16.5" thickBot="1" x14ac:dyDescent="0.3">
      <c r="A69" s="29" t="s">
        <v>46</v>
      </c>
      <c r="B69" s="33" t="s">
        <v>81</v>
      </c>
      <c r="C69" s="50">
        <v>4.3499999999999997E-2</v>
      </c>
      <c r="D69" s="43">
        <f t="shared" si="1"/>
        <v>83.186354999999992</v>
      </c>
    </row>
    <row r="70" spans="1:4" ht="16.5" thickBot="1" x14ac:dyDescent="0.3">
      <c r="A70" s="29" t="s">
        <v>48</v>
      </c>
      <c r="B70" s="33" t="s">
        <v>82</v>
      </c>
      <c r="C70" s="53">
        <v>1.9400000000000001E-2</v>
      </c>
      <c r="D70" s="43">
        <f t="shared" si="1"/>
        <v>37.099201999999998</v>
      </c>
    </row>
    <row r="71" spans="1:4" ht="16.5" thickBot="1" x14ac:dyDescent="0.3">
      <c r="A71" s="29" t="s">
        <v>49</v>
      </c>
      <c r="B71" s="33" t="s">
        <v>83</v>
      </c>
      <c r="C71" s="50">
        <v>7.0000000000000001E-3</v>
      </c>
      <c r="D71" s="43">
        <f t="shared" si="1"/>
        <v>13.38631</v>
      </c>
    </row>
    <row r="72" spans="1:4" ht="16.5" thickBot="1" x14ac:dyDescent="0.3">
      <c r="A72" s="29" t="s">
        <v>51</v>
      </c>
      <c r="B72" s="33" t="s">
        <v>84</v>
      </c>
      <c r="C72" s="50">
        <v>8.0000000000000004E-4</v>
      </c>
      <c r="D72" s="43">
        <f t="shared" si="1"/>
        <v>1.5298640000000001</v>
      </c>
    </row>
    <row r="73" spans="1:4" ht="16.5" thickBot="1" x14ac:dyDescent="0.3">
      <c r="A73" s="183" t="s">
        <v>5</v>
      </c>
      <c r="B73" s="184"/>
      <c r="C73" s="50">
        <f>SUM(C67:C72)</f>
        <v>7.5235999999999997E-2</v>
      </c>
      <c r="D73" s="43">
        <f t="shared" si="1"/>
        <v>143.87605987999999</v>
      </c>
    </row>
    <row r="76" spans="1:4" x14ac:dyDescent="0.25">
      <c r="A76" s="185" t="s">
        <v>85</v>
      </c>
      <c r="B76" s="185"/>
      <c r="C76" s="185"/>
    </row>
    <row r="79" spans="1:4" x14ac:dyDescent="0.25">
      <c r="A79" s="186" t="s">
        <v>86</v>
      </c>
      <c r="B79" s="186"/>
      <c r="C79" s="186"/>
    </row>
    <row r="80" spans="1:4" ht="16.5" thickBot="1" x14ac:dyDescent="0.3">
      <c r="A80" s="26"/>
    </row>
    <row r="81" spans="1:4" ht="16.5" thickBot="1" x14ac:dyDescent="0.3">
      <c r="A81" s="27" t="s">
        <v>87</v>
      </c>
      <c r="B81" s="80" t="s">
        <v>88</v>
      </c>
      <c r="C81" s="80" t="s">
        <v>63</v>
      </c>
      <c r="D81" s="80" t="s">
        <v>41</v>
      </c>
    </row>
    <row r="82" spans="1:4" ht="16.5" thickBot="1" x14ac:dyDescent="0.3">
      <c r="A82" s="29" t="s">
        <v>42</v>
      </c>
      <c r="B82" s="30" t="s">
        <v>6</v>
      </c>
      <c r="C82" s="50">
        <v>8.3299999999999999E-2</v>
      </c>
      <c r="D82" s="43">
        <f>(C$17)*C82</f>
        <v>159.297089</v>
      </c>
    </row>
    <row r="83" spans="1:4" ht="16.5" thickBot="1" x14ac:dyDescent="0.3">
      <c r="A83" s="29" t="s">
        <v>44</v>
      </c>
      <c r="B83" s="30" t="s">
        <v>88</v>
      </c>
      <c r="C83" s="50">
        <v>8.2000000000000007E-3</v>
      </c>
      <c r="D83" s="43">
        <f t="shared" ref="D83:D88" si="2">(C$17)*C83</f>
        <v>15.681106000000002</v>
      </c>
    </row>
    <row r="84" spans="1:4" ht="16.5" thickBot="1" x14ac:dyDescent="0.3">
      <c r="A84" s="29" t="s">
        <v>46</v>
      </c>
      <c r="B84" s="30" t="s">
        <v>89</v>
      </c>
      <c r="C84" s="50">
        <v>2.0000000000000001E-4</v>
      </c>
      <c r="D84" s="43">
        <f t="shared" si="2"/>
        <v>0.38246600000000003</v>
      </c>
    </row>
    <row r="85" spans="1:4" ht="16.5" thickBot="1" x14ac:dyDescent="0.3">
      <c r="A85" s="29" t="s">
        <v>48</v>
      </c>
      <c r="B85" s="30" t="s">
        <v>90</v>
      </c>
      <c r="C85" s="50">
        <v>2.9999999999999997E-4</v>
      </c>
      <c r="D85" s="43">
        <f t="shared" si="2"/>
        <v>0.57369899999999996</v>
      </c>
    </row>
    <row r="86" spans="1:4" ht="16.5" thickBot="1" x14ac:dyDescent="0.3">
      <c r="A86" s="29" t="s">
        <v>49</v>
      </c>
      <c r="B86" s="30" t="s">
        <v>91</v>
      </c>
      <c r="C86" s="50">
        <v>6.1000000000000004E-3</v>
      </c>
      <c r="D86" s="43">
        <f t="shared" si="2"/>
        <v>11.665213</v>
      </c>
    </row>
    <row r="87" spans="1:4" ht="16.5" thickBot="1" x14ac:dyDescent="0.3">
      <c r="A87" s="29" t="s">
        <v>51</v>
      </c>
      <c r="B87" s="30" t="s">
        <v>53</v>
      </c>
      <c r="C87" s="50">
        <v>0</v>
      </c>
      <c r="D87" s="43">
        <f t="shared" si="2"/>
        <v>0</v>
      </c>
    </row>
    <row r="88" spans="1:4" ht="16.5" thickBot="1" x14ac:dyDescent="0.3">
      <c r="A88" s="183" t="s">
        <v>70</v>
      </c>
      <c r="B88" s="184"/>
      <c r="C88" s="50">
        <v>9.8100000000000007E-2</v>
      </c>
      <c r="D88" s="43">
        <f t="shared" si="2"/>
        <v>187.59957299999999</v>
      </c>
    </row>
    <row r="91" spans="1:4" x14ac:dyDescent="0.25">
      <c r="A91" s="186" t="s">
        <v>92</v>
      </c>
      <c r="B91" s="186"/>
      <c r="C91" s="186"/>
    </row>
    <row r="92" spans="1:4" ht="16.5" thickBot="1" x14ac:dyDescent="0.3">
      <c r="A92" s="26"/>
    </row>
    <row r="93" spans="1:4" ht="16.5" thickBot="1" x14ac:dyDescent="0.3">
      <c r="A93" s="27" t="s">
        <v>93</v>
      </c>
      <c r="B93" s="80" t="s">
        <v>94</v>
      </c>
      <c r="C93" s="80" t="s">
        <v>41</v>
      </c>
    </row>
    <row r="94" spans="1:4" ht="16.5" thickBot="1" x14ac:dyDescent="0.3">
      <c r="A94" s="29" t="s">
        <v>42</v>
      </c>
      <c r="B94" s="30" t="s">
        <v>110</v>
      </c>
      <c r="C94" s="42"/>
    </row>
    <row r="95" spans="1:4" ht="16.5" thickBot="1" x14ac:dyDescent="0.3">
      <c r="A95" s="183" t="s">
        <v>5</v>
      </c>
      <c r="B95" s="184"/>
      <c r="C95" s="42"/>
    </row>
    <row r="98" spans="1:3" x14ac:dyDescent="0.25">
      <c r="A98" s="186" t="s">
        <v>95</v>
      </c>
      <c r="B98" s="186"/>
      <c r="C98" s="186"/>
    </row>
    <row r="99" spans="1:3" ht="16.5" thickBot="1" x14ac:dyDescent="0.3">
      <c r="A99" s="26"/>
    </row>
    <row r="100" spans="1:3" ht="16.5" thickBot="1" x14ac:dyDescent="0.3">
      <c r="A100" s="27">
        <v>4</v>
      </c>
      <c r="B100" s="80" t="s">
        <v>96</v>
      </c>
      <c r="C100" s="80" t="s">
        <v>41</v>
      </c>
    </row>
    <row r="101" spans="1:3" ht="16.5" thickBot="1" x14ac:dyDescent="0.3">
      <c r="A101" s="29" t="s">
        <v>87</v>
      </c>
      <c r="B101" s="30" t="s">
        <v>88</v>
      </c>
      <c r="C101" s="43">
        <f>D88</f>
        <v>187.59957299999999</v>
      </c>
    </row>
    <row r="102" spans="1:3" ht="16.5" thickBot="1" x14ac:dyDescent="0.3">
      <c r="A102" s="29" t="s">
        <v>93</v>
      </c>
      <c r="B102" s="30" t="s">
        <v>94</v>
      </c>
      <c r="C102" s="43">
        <f>C95</f>
        <v>0</v>
      </c>
    </row>
    <row r="103" spans="1:3" ht="16.5" thickBot="1" x14ac:dyDescent="0.3">
      <c r="A103" s="183" t="s">
        <v>5</v>
      </c>
      <c r="B103" s="184"/>
      <c r="C103" s="62">
        <f>C101+C102</f>
        <v>187.59957299999999</v>
      </c>
    </row>
    <row r="106" spans="1:3" x14ac:dyDescent="0.25">
      <c r="A106" s="185" t="s">
        <v>97</v>
      </c>
      <c r="B106" s="185"/>
      <c r="C106" s="185"/>
    </row>
    <row r="107" spans="1:3" ht="16.5" thickBot="1" x14ac:dyDescent="0.3"/>
    <row r="108" spans="1:3" ht="16.5" thickBot="1" x14ac:dyDescent="0.3">
      <c r="A108" s="27">
        <v>5</v>
      </c>
      <c r="B108" s="34" t="s">
        <v>24</v>
      </c>
      <c r="C108" s="80" t="s">
        <v>41</v>
      </c>
    </row>
    <row r="109" spans="1:3" ht="16.5" thickBot="1" x14ac:dyDescent="0.3">
      <c r="A109" s="29" t="s">
        <v>42</v>
      </c>
      <c r="B109" s="30" t="s">
        <v>98</v>
      </c>
      <c r="C109" s="43">
        <f>'Planilha de Apoio'!C42</f>
        <v>86.948888888888902</v>
      </c>
    </row>
    <row r="110" spans="1:3" ht="16.5" thickBot="1" x14ac:dyDescent="0.3">
      <c r="A110" s="29" t="s">
        <v>44</v>
      </c>
      <c r="B110" s="30" t="s">
        <v>590</v>
      </c>
      <c r="C110" s="43">
        <v>0</v>
      </c>
    </row>
    <row r="111" spans="1:3" ht="16.5" thickBot="1" x14ac:dyDescent="0.3">
      <c r="A111" s="29" t="s">
        <v>46</v>
      </c>
      <c r="B111" s="30" t="s">
        <v>591</v>
      </c>
      <c r="C111" s="43">
        <f>'Planilha de Apoio'!G233</f>
        <v>336.84195833333342</v>
      </c>
    </row>
    <row r="112" spans="1:3" ht="16.5" thickBot="1" x14ac:dyDescent="0.3">
      <c r="A112" s="29" t="s">
        <v>48</v>
      </c>
      <c r="B112" s="30" t="s">
        <v>199</v>
      </c>
      <c r="C112" s="43">
        <v>0</v>
      </c>
    </row>
    <row r="113" spans="1:4" ht="16.5" thickBot="1" x14ac:dyDescent="0.3">
      <c r="A113" s="183" t="s">
        <v>70</v>
      </c>
      <c r="B113" s="184"/>
      <c r="C113" s="43">
        <f>SUM(C109:C112)</f>
        <v>423.79084722222234</v>
      </c>
    </row>
    <row r="116" spans="1:4" x14ac:dyDescent="0.25">
      <c r="A116" s="185" t="s">
        <v>101</v>
      </c>
      <c r="B116" s="185"/>
      <c r="C116" s="185"/>
    </row>
    <row r="117" spans="1:4" ht="16.5" thickBot="1" x14ac:dyDescent="0.3"/>
    <row r="118" spans="1:4" ht="16.5" thickBot="1" x14ac:dyDescent="0.3">
      <c r="A118" s="27">
        <v>6</v>
      </c>
      <c r="B118" s="34" t="s">
        <v>25</v>
      </c>
      <c r="C118" s="80" t="s">
        <v>63</v>
      </c>
      <c r="D118" s="80" t="s">
        <v>41</v>
      </c>
    </row>
    <row r="119" spans="1:4" ht="16.5" thickBot="1" x14ac:dyDescent="0.3">
      <c r="A119" s="29" t="s">
        <v>42</v>
      </c>
      <c r="B119" s="66" t="s">
        <v>26</v>
      </c>
      <c r="C119" s="165">
        <v>9.0999999999999998E-2</v>
      </c>
      <c r="D119" s="68">
        <f>C119*C138</f>
        <v>477.31518550711962</v>
      </c>
    </row>
    <row r="120" spans="1:4" ht="16.5" thickBot="1" x14ac:dyDescent="0.3">
      <c r="A120" s="29" t="s">
        <v>44</v>
      </c>
      <c r="B120" s="66" t="s">
        <v>28</v>
      </c>
      <c r="C120" s="165">
        <v>5.8999999999999997E-2</v>
      </c>
      <c r="D120" s="68">
        <f>C120*(C138+D119)</f>
        <v>337.62968325173387</v>
      </c>
    </row>
    <row r="121" spans="1:4" ht="16.5" thickBot="1" x14ac:dyDescent="0.3">
      <c r="A121" s="29" t="s">
        <v>46</v>
      </c>
      <c r="B121" s="30" t="s">
        <v>27</v>
      </c>
      <c r="C121" s="32"/>
      <c r="D121" s="43">
        <f>(C$17+C$61+D$73+C$103+C$113)*C121</f>
        <v>0</v>
      </c>
    </row>
    <row r="122" spans="1:4" ht="16.5" thickBot="1" x14ac:dyDescent="0.3">
      <c r="A122" s="29"/>
      <c r="B122" s="66" t="s">
        <v>114</v>
      </c>
      <c r="C122" s="67">
        <f>C123+C124</f>
        <v>9.2499999999999999E-2</v>
      </c>
      <c r="D122" s="68">
        <f>C122*(C$138+D$119+D$120)</f>
        <v>560.56541859545291</v>
      </c>
    </row>
    <row r="123" spans="1:4" ht="16.5" thickBot="1" x14ac:dyDescent="0.3">
      <c r="A123" s="29"/>
      <c r="B123" s="30" t="s">
        <v>112</v>
      </c>
      <c r="C123" s="166">
        <v>7.5999999999999998E-2</v>
      </c>
      <c r="D123" s="43">
        <f>C123*(C$138+D$119+D$120)</f>
        <v>460.57266825139914</v>
      </c>
    </row>
    <row r="124" spans="1:4" ht="16.5" thickBot="1" x14ac:dyDescent="0.3">
      <c r="A124" s="29"/>
      <c r="B124" s="30" t="s">
        <v>113</v>
      </c>
      <c r="C124" s="166">
        <v>1.6500000000000001E-2</v>
      </c>
      <c r="D124" s="43">
        <f>C124*(C$138+D$119+D$120)</f>
        <v>99.992750344053775</v>
      </c>
    </row>
    <row r="125" spans="1:4" ht="16.5" thickBot="1" x14ac:dyDescent="0.3">
      <c r="A125" s="29"/>
      <c r="B125" s="66" t="s">
        <v>115</v>
      </c>
      <c r="C125" s="67">
        <v>0</v>
      </c>
      <c r="D125" s="68">
        <f>C125*(C$138+D$119+D$120)</f>
        <v>0</v>
      </c>
    </row>
    <row r="126" spans="1:4" ht="16.5" thickBot="1" x14ac:dyDescent="0.3">
      <c r="A126" s="29"/>
      <c r="B126" s="66" t="s">
        <v>116</v>
      </c>
      <c r="C126" s="166">
        <v>0.03</v>
      </c>
      <c r="D126" s="68">
        <f>C126*(C$138+D$119+D$120)</f>
        <v>181.80500062555228</v>
      </c>
    </row>
    <row r="127" spans="1:4" ht="16.5" thickBot="1" x14ac:dyDescent="0.3">
      <c r="A127" s="187" t="s">
        <v>70</v>
      </c>
      <c r="B127" s="188"/>
      <c r="C127" s="67">
        <f>C119+C120+C122+C125+C126</f>
        <v>0.27249999999999996</v>
      </c>
      <c r="D127" s="68">
        <f>D119+D120+D122+D125+D126</f>
        <v>1557.3152879798588</v>
      </c>
    </row>
    <row r="130" spans="1:3" x14ac:dyDescent="0.25">
      <c r="A130" s="185" t="s">
        <v>102</v>
      </c>
      <c r="B130" s="185"/>
      <c r="C130" s="185"/>
    </row>
    <row r="131" spans="1:3" ht="16.5" thickBot="1" x14ac:dyDescent="0.3"/>
    <row r="132" spans="1:3" ht="16.5" thickBot="1" x14ac:dyDescent="0.3">
      <c r="A132" s="27"/>
      <c r="B132" s="80" t="s">
        <v>103</v>
      </c>
      <c r="C132" s="80" t="s">
        <v>41</v>
      </c>
    </row>
    <row r="133" spans="1:3" ht="16.5" thickBot="1" x14ac:dyDescent="0.3">
      <c r="A133" s="36" t="s">
        <v>42</v>
      </c>
      <c r="B133" s="30" t="s">
        <v>39</v>
      </c>
      <c r="C133" s="65">
        <f>C17</f>
        <v>1912.33</v>
      </c>
    </row>
    <row r="134" spans="1:3" ht="16.5" thickBot="1" x14ac:dyDescent="0.3">
      <c r="A134" s="36" t="s">
        <v>44</v>
      </c>
      <c r="B134" s="30" t="s">
        <v>54</v>
      </c>
      <c r="C134" s="65">
        <f>C61</f>
        <v>2577.6253386573335</v>
      </c>
    </row>
    <row r="135" spans="1:3" ht="16.5" thickBot="1" x14ac:dyDescent="0.3">
      <c r="A135" s="36" t="s">
        <v>46</v>
      </c>
      <c r="B135" s="30" t="s">
        <v>77</v>
      </c>
      <c r="C135" s="65">
        <f>D73</f>
        <v>143.87605987999999</v>
      </c>
    </row>
    <row r="136" spans="1:3" ht="16.5" thickBot="1" x14ac:dyDescent="0.3">
      <c r="A136" s="36" t="s">
        <v>48</v>
      </c>
      <c r="B136" s="30" t="s">
        <v>85</v>
      </c>
      <c r="C136" s="65">
        <f>D88</f>
        <v>187.59957299999999</v>
      </c>
    </row>
    <row r="137" spans="1:3" ht="16.5" thickBot="1" x14ac:dyDescent="0.3">
      <c r="A137" s="36" t="s">
        <v>49</v>
      </c>
      <c r="B137" s="30" t="s">
        <v>97</v>
      </c>
      <c r="C137" s="65">
        <f>C113</f>
        <v>423.79084722222234</v>
      </c>
    </row>
    <row r="138" spans="1:3" ht="16.5" customHeight="1" thickBot="1" x14ac:dyDescent="0.3">
      <c r="A138" s="183" t="s">
        <v>104</v>
      </c>
      <c r="B138" s="184"/>
      <c r="C138" s="65">
        <f>SUM(C133:C137)</f>
        <v>5245.2218187595563</v>
      </c>
    </row>
    <row r="139" spans="1:3" ht="16.5" thickBot="1" x14ac:dyDescent="0.3">
      <c r="A139" s="36" t="s">
        <v>51</v>
      </c>
      <c r="B139" s="30" t="s">
        <v>105</v>
      </c>
      <c r="C139" s="65">
        <f>D127</f>
        <v>1557.3152879798588</v>
      </c>
    </row>
    <row r="140" spans="1:3" ht="16.5" customHeight="1" thickBot="1" x14ac:dyDescent="0.3">
      <c r="A140" s="183" t="s">
        <v>106</v>
      </c>
      <c r="B140" s="184"/>
      <c r="C140" s="69">
        <f>C138+C139</f>
        <v>6802.5371067394153</v>
      </c>
    </row>
    <row r="142" spans="1:3" x14ac:dyDescent="0.25">
      <c r="B142" s="167" t="s">
        <v>273</v>
      </c>
      <c r="C142" s="168">
        <f>C140*12</f>
        <v>81630.445280872984</v>
      </c>
    </row>
  </sheetData>
  <mergeCells count="34">
    <mergeCell ref="A27:B27"/>
    <mergeCell ref="A1:D1"/>
    <mergeCell ref="A2:D2"/>
    <mergeCell ref="A3:D3"/>
    <mergeCell ref="B4:C4"/>
    <mergeCell ref="B5:C5"/>
    <mergeCell ref="B6:C6"/>
    <mergeCell ref="A7:C7"/>
    <mergeCell ref="A17:B17"/>
    <mergeCell ref="A18:C19"/>
    <mergeCell ref="A20:C20"/>
    <mergeCell ref="A22:C22"/>
    <mergeCell ref="A91:C91"/>
    <mergeCell ref="A30:D30"/>
    <mergeCell ref="A41:B41"/>
    <mergeCell ref="A44:C44"/>
    <mergeCell ref="A52:B52"/>
    <mergeCell ref="A55:C55"/>
    <mergeCell ref="A61:B61"/>
    <mergeCell ref="A64:C64"/>
    <mergeCell ref="A73:B73"/>
    <mergeCell ref="A76:C76"/>
    <mergeCell ref="A79:C79"/>
    <mergeCell ref="A88:B88"/>
    <mergeCell ref="A127:B127"/>
    <mergeCell ref="A130:C130"/>
    <mergeCell ref="A138:B138"/>
    <mergeCell ref="A140:B140"/>
    <mergeCell ref="A95:B95"/>
    <mergeCell ref="A98:C98"/>
    <mergeCell ref="A103:B103"/>
    <mergeCell ref="A106:C106"/>
    <mergeCell ref="A113:B113"/>
    <mergeCell ref="A116:C116"/>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
  <sheetViews>
    <sheetView showGridLines="0" zoomScaleNormal="100" workbookViewId="0">
      <selection activeCell="C127" sqref="C127"/>
    </sheetView>
  </sheetViews>
  <sheetFormatPr defaultRowHeight="15.75" x14ac:dyDescent="0.25"/>
  <cols>
    <col min="1" max="1" width="16.28515625" style="35" customWidth="1"/>
    <col min="2" max="2" width="72.140625" style="35" customWidth="1"/>
    <col min="3" max="3" width="18" style="35" customWidth="1"/>
    <col min="4" max="4" width="14.28515625" style="35" customWidth="1"/>
    <col min="5" max="5" width="12.7109375" style="35" customWidth="1"/>
    <col min="6" max="6" width="12" style="35" customWidth="1"/>
    <col min="7" max="7" width="15.140625" style="35" customWidth="1"/>
    <col min="8" max="16384" width="9.140625" style="35"/>
  </cols>
  <sheetData>
    <row r="1" spans="1:4" ht="23.25" x14ac:dyDescent="0.35">
      <c r="A1" s="193" t="s">
        <v>107</v>
      </c>
      <c r="B1" s="193"/>
      <c r="C1" s="193"/>
      <c r="D1" s="193"/>
    </row>
    <row r="2" spans="1:4" ht="23.25" x14ac:dyDescent="0.35">
      <c r="A2" s="193" t="s">
        <v>108</v>
      </c>
      <c r="B2" s="193"/>
      <c r="C2" s="193"/>
      <c r="D2" s="193"/>
    </row>
    <row r="3" spans="1:4" ht="27.75" customHeight="1" x14ac:dyDescent="0.25">
      <c r="A3" s="195" t="s">
        <v>109</v>
      </c>
      <c r="B3" s="195"/>
      <c r="C3" s="195"/>
      <c r="D3" s="195"/>
    </row>
    <row r="4" spans="1:4" x14ac:dyDescent="0.25">
      <c r="A4" s="55" t="s">
        <v>117</v>
      </c>
      <c r="B4" s="190" t="s">
        <v>256</v>
      </c>
      <c r="C4" s="190"/>
    </row>
    <row r="5" spans="1:4" x14ac:dyDescent="0.25">
      <c r="A5" s="55" t="s">
        <v>118</v>
      </c>
      <c r="B5" s="190" t="s">
        <v>279</v>
      </c>
      <c r="C5" s="190"/>
    </row>
    <row r="6" spans="1:4" x14ac:dyDescent="0.25">
      <c r="A6" s="55" t="s">
        <v>119</v>
      </c>
      <c r="B6" s="190" t="s">
        <v>278</v>
      </c>
      <c r="C6" s="190"/>
    </row>
    <row r="7" spans="1:4" x14ac:dyDescent="0.25">
      <c r="A7" s="194" t="s">
        <v>39</v>
      </c>
      <c r="B7" s="194"/>
      <c r="C7" s="194"/>
    </row>
    <row r="8" spans="1:4" ht="16.5" thickBot="1" x14ac:dyDescent="0.3"/>
    <row r="9" spans="1:4" ht="16.5" thickBot="1" x14ac:dyDescent="0.3">
      <c r="A9" s="27">
        <v>1</v>
      </c>
      <c r="B9" s="72" t="s">
        <v>40</v>
      </c>
      <c r="C9" s="72" t="s">
        <v>41</v>
      </c>
    </row>
    <row r="10" spans="1:4" ht="16.5" thickBot="1" x14ac:dyDescent="0.3">
      <c r="A10" s="29" t="s">
        <v>42</v>
      </c>
      <c r="B10" s="30" t="s">
        <v>43</v>
      </c>
      <c r="C10" s="43">
        <v>1239.8</v>
      </c>
    </row>
    <row r="11" spans="1:4" ht="16.5" thickBot="1" x14ac:dyDescent="0.3">
      <c r="A11" s="29" t="s">
        <v>44</v>
      </c>
      <c r="B11" s="30" t="s">
        <v>45</v>
      </c>
      <c r="C11" s="43"/>
    </row>
    <row r="12" spans="1:4" ht="16.5" thickBot="1" x14ac:dyDescent="0.3">
      <c r="A12" s="29" t="s">
        <v>46</v>
      </c>
      <c r="B12" s="30" t="s">
        <v>47</v>
      </c>
      <c r="C12" s="43"/>
    </row>
    <row r="13" spans="1:4" ht="16.5" thickBot="1" x14ac:dyDescent="0.3">
      <c r="A13" s="29" t="s">
        <v>48</v>
      </c>
      <c r="B13" s="30" t="s">
        <v>4</v>
      </c>
      <c r="C13" s="43"/>
    </row>
    <row r="14" spans="1:4" ht="16.5" thickBot="1" x14ac:dyDescent="0.3">
      <c r="A14" s="29" t="s">
        <v>49</v>
      </c>
      <c r="B14" s="30" t="s">
        <v>50</v>
      </c>
      <c r="C14" s="81"/>
    </row>
    <row r="15" spans="1:4" ht="16.5" thickBot="1" x14ac:dyDescent="0.3">
      <c r="A15" s="29" t="s">
        <v>51</v>
      </c>
      <c r="B15" s="58"/>
      <c r="C15" s="55"/>
    </row>
    <row r="16" spans="1:4" ht="32.25" thickBot="1" x14ac:dyDescent="0.3">
      <c r="A16" s="29" t="s">
        <v>52</v>
      </c>
      <c r="B16" s="58" t="s">
        <v>255</v>
      </c>
      <c r="C16" s="82">
        <f>0.4*C10</f>
        <v>495.92</v>
      </c>
    </row>
    <row r="17" spans="1:4" ht="16.5" thickBot="1" x14ac:dyDescent="0.3">
      <c r="A17" s="183" t="s">
        <v>5</v>
      </c>
      <c r="B17" s="184"/>
      <c r="C17" s="62">
        <f>SUM(C10:C16)</f>
        <v>1735.72</v>
      </c>
    </row>
    <row r="18" spans="1:4" x14ac:dyDescent="0.25">
      <c r="A18" s="191" t="s">
        <v>592</v>
      </c>
      <c r="B18" s="191"/>
      <c r="C18" s="191"/>
    </row>
    <row r="19" spans="1:4" ht="18.75" customHeight="1" x14ac:dyDescent="0.25">
      <c r="A19" s="192"/>
      <c r="B19" s="192"/>
      <c r="C19" s="192"/>
    </row>
    <row r="20" spans="1:4" x14ac:dyDescent="0.25">
      <c r="A20" s="185" t="s">
        <v>54</v>
      </c>
      <c r="B20" s="185"/>
      <c r="C20" s="185"/>
    </row>
    <row r="21" spans="1:4" x14ac:dyDescent="0.25">
      <c r="A21" s="26"/>
    </row>
    <row r="22" spans="1:4" x14ac:dyDescent="0.25">
      <c r="A22" s="186" t="s">
        <v>55</v>
      </c>
      <c r="B22" s="186"/>
      <c r="C22" s="186"/>
    </row>
    <row r="23" spans="1:4" ht="16.5" thickBot="1" x14ac:dyDescent="0.3"/>
    <row r="24" spans="1:4" ht="16.5" thickBot="1" x14ac:dyDescent="0.3">
      <c r="A24" s="27" t="s">
        <v>56</v>
      </c>
      <c r="B24" s="72" t="s">
        <v>57</v>
      </c>
      <c r="C24" s="72" t="s">
        <v>63</v>
      </c>
      <c r="D24" s="72" t="s">
        <v>41</v>
      </c>
    </row>
    <row r="25" spans="1:4" ht="16.5" thickBot="1" x14ac:dyDescent="0.3">
      <c r="A25" s="29" t="s">
        <v>42</v>
      </c>
      <c r="B25" s="58" t="s">
        <v>58</v>
      </c>
      <c r="C25" s="54">
        <f>1/12</f>
        <v>8.3333333333333329E-2</v>
      </c>
      <c r="D25" s="59">
        <f>C$17*C25</f>
        <v>144.64333333333332</v>
      </c>
    </row>
    <row r="26" spans="1:4" ht="16.5" thickBot="1" x14ac:dyDescent="0.3">
      <c r="A26" s="29" t="s">
        <v>44</v>
      </c>
      <c r="B26" s="56" t="s">
        <v>59</v>
      </c>
      <c r="C26" s="60">
        <v>0.1111</v>
      </c>
      <c r="D26" s="61">
        <f>C$17*C26</f>
        <v>192.838492</v>
      </c>
    </row>
    <row r="27" spans="1:4" ht="16.5" thickBot="1" x14ac:dyDescent="0.3">
      <c r="A27" s="183" t="s">
        <v>5</v>
      </c>
      <c r="B27" s="184"/>
      <c r="C27" s="63">
        <f>SUM(C25:C26)</f>
        <v>0.19443333333333335</v>
      </c>
      <c r="D27" s="64">
        <f>C$17*C27</f>
        <v>337.48182533333335</v>
      </c>
    </row>
    <row r="30" spans="1:4" ht="32.25" customHeight="1" x14ac:dyDescent="0.25">
      <c r="A30" s="189" t="s">
        <v>60</v>
      </c>
      <c r="B30" s="189"/>
      <c r="C30" s="189"/>
      <c r="D30" s="189"/>
    </row>
    <row r="31" spans="1:4" ht="16.5" thickBot="1" x14ac:dyDescent="0.3"/>
    <row r="32" spans="1:4" ht="16.5" thickBot="1" x14ac:dyDescent="0.3">
      <c r="A32" s="27" t="s">
        <v>61</v>
      </c>
      <c r="B32" s="72" t="s">
        <v>62</v>
      </c>
      <c r="C32" s="72" t="s">
        <v>63</v>
      </c>
      <c r="D32" s="72" t="s">
        <v>41</v>
      </c>
    </row>
    <row r="33" spans="1:4" ht="16.5" thickBot="1" x14ac:dyDescent="0.3">
      <c r="A33" s="29" t="s">
        <v>42</v>
      </c>
      <c r="B33" s="30" t="s">
        <v>64</v>
      </c>
      <c r="C33" s="32">
        <v>0.2</v>
      </c>
      <c r="D33" s="61">
        <f t="shared" ref="D33:D41" si="0">(D$27+C$17)*C33</f>
        <v>414.64036506666673</v>
      </c>
    </row>
    <row r="34" spans="1:4" ht="16.5" thickBot="1" x14ac:dyDescent="0.3">
      <c r="A34" s="29" t="s">
        <v>44</v>
      </c>
      <c r="B34" s="30" t="s">
        <v>65</v>
      </c>
      <c r="C34" s="32">
        <v>2.5000000000000001E-2</v>
      </c>
      <c r="D34" s="61">
        <f t="shared" si="0"/>
        <v>51.830045633333341</v>
      </c>
    </row>
    <row r="35" spans="1:4" ht="16.5" thickBot="1" x14ac:dyDescent="0.3">
      <c r="A35" s="29" t="s">
        <v>46</v>
      </c>
      <c r="B35" s="30" t="s">
        <v>66</v>
      </c>
      <c r="C35" s="166">
        <v>0.01</v>
      </c>
      <c r="D35" s="61">
        <f t="shared" si="0"/>
        <v>20.732018253333337</v>
      </c>
    </row>
    <row r="36" spans="1:4" ht="16.5" thickBot="1" x14ac:dyDescent="0.3">
      <c r="A36" s="29" t="s">
        <v>48</v>
      </c>
      <c r="B36" s="30" t="s">
        <v>67</v>
      </c>
      <c r="C36" s="32">
        <v>1.4999999999999999E-2</v>
      </c>
      <c r="D36" s="61">
        <f t="shared" si="0"/>
        <v>31.098027380000001</v>
      </c>
    </row>
    <row r="37" spans="1:4" ht="16.5" thickBot="1" x14ac:dyDescent="0.3">
      <c r="A37" s="29" t="s">
        <v>49</v>
      </c>
      <c r="B37" s="30" t="s">
        <v>68</v>
      </c>
      <c r="C37" s="32">
        <v>0.01</v>
      </c>
      <c r="D37" s="61">
        <f t="shared" si="0"/>
        <v>20.732018253333337</v>
      </c>
    </row>
    <row r="38" spans="1:4" ht="16.5" thickBot="1" x14ac:dyDescent="0.3">
      <c r="A38" s="29" t="s">
        <v>51</v>
      </c>
      <c r="B38" s="30" t="s">
        <v>7</v>
      </c>
      <c r="C38" s="32">
        <v>6.0000000000000001E-3</v>
      </c>
      <c r="D38" s="61">
        <f t="shared" si="0"/>
        <v>12.439210952000002</v>
      </c>
    </row>
    <row r="39" spans="1:4" ht="16.5" thickBot="1" x14ac:dyDescent="0.3">
      <c r="A39" s="29" t="s">
        <v>52</v>
      </c>
      <c r="B39" s="30" t="s">
        <v>8</v>
      </c>
      <c r="C39" s="32">
        <v>2E-3</v>
      </c>
      <c r="D39" s="61">
        <f t="shared" si="0"/>
        <v>4.1464036506666675</v>
      </c>
    </row>
    <row r="40" spans="1:4" ht="16.5" thickBot="1" x14ac:dyDescent="0.3">
      <c r="A40" s="29" t="s">
        <v>69</v>
      </c>
      <c r="B40" s="30" t="s">
        <v>9</v>
      </c>
      <c r="C40" s="32">
        <v>0.08</v>
      </c>
      <c r="D40" s="61">
        <f t="shared" si="0"/>
        <v>165.85614602666669</v>
      </c>
    </row>
    <row r="41" spans="1:4" ht="16.5" thickBot="1" x14ac:dyDescent="0.3">
      <c r="A41" s="183" t="s">
        <v>70</v>
      </c>
      <c r="B41" s="184"/>
      <c r="C41" s="32">
        <f>SUM(C33:C40)</f>
        <v>0.34800000000000003</v>
      </c>
      <c r="D41" s="61">
        <f t="shared" si="0"/>
        <v>721.47423521600012</v>
      </c>
    </row>
    <row r="44" spans="1:4" x14ac:dyDescent="0.25">
      <c r="A44" s="186" t="s">
        <v>71</v>
      </c>
      <c r="B44" s="186"/>
      <c r="C44" s="186"/>
    </row>
    <row r="45" spans="1:4" ht="16.5" thickBot="1" x14ac:dyDescent="0.3"/>
    <row r="46" spans="1:4" ht="16.5" thickBot="1" x14ac:dyDescent="0.3">
      <c r="A46" s="27" t="s">
        <v>72</v>
      </c>
      <c r="B46" s="72" t="s">
        <v>73</v>
      </c>
      <c r="C46" s="72" t="s">
        <v>41</v>
      </c>
    </row>
    <row r="47" spans="1:4" ht="16.5" thickBot="1" x14ac:dyDescent="0.3">
      <c r="A47" s="29" t="s">
        <v>42</v>
      </c>
      <c r="B47" s="30" t="s">
        <v>74</v>
      </c>
      <c r="C47" s="43">
        <v>0</v>
      </c>
    </row>
    <row r="48" spans="1:4" ht="16.5" thickBot="1" x14ac:dyDescent="0.3">
      <c r="A48" s="29" t="s">
        <v>44</v>
      </c>
      <c r="B48" s="30" t="s">
        <v>120</v>
      </c>
      <c r="C48" s="43">
        <f>'Planilha de Apoio'!D25</f>
        <v>389.18</v>
      </c>
    </row>
    <row r="49" spans="1:3" ht="16.5" thickBot="1" x14ac:dyDescent="0.3">
      <c r="A49" s="29" t="s">
        <v>46</v>
      </c>
      <c r="B49" s="30" t="s">
        <v>131</v>
      </c>
      <c r="C49" s="43">
        <v>0</v>
      </c>
    </row>
    <row r="50" spans="1:3" ht="16.5" thickBot="1" x14ac:dyDescent="0.3">
      <c r="A50" s="71" t="s">
        <v>48</v>
      </c>
      <c r="B50" s="70" t="s">
        <v>121</v>
      </c>
      <c r="C50" s="43">
        <f>'Planilha de Apoio'!D29</f>
        <v>129.72999999999999</v>
      </c>
    </row>
    <row r="51" spans="1:3" ht="16.5" thickBot="1" x14ac:dyDescent="0.3">
      <c r="A51" s="71" t="s">
        <v>49</v>
      </c>
      <c r="B51" s="57" t="s">
        <v>137</v>
      </c>
      <c r="C51" s="43">
        <f>'Planilha de Apoio'!E5</f>
        <v>4667.7</v>
      </c>
    </row>
    <row r="52" spans="1:3" ht="16.5" thickBot="1" x14ac:dyDescent="0.3">
      <c r="A52" s="196" t="s">
        <v>5</v>
      </c>
      <c r="B52" s="197"/>
      <c r="C52" s="43">
        <f>SUM(C47:C51)</f>
        <v>5186.6099999999997</v>
      </c>
    </row>
    <row r="55" spans="1:3" x14ac:dyDescent="0.25">
      <c r="A55" s="186" t="s">
        <v>75</v>
      </c>
      <c r="B55" s="186"/>
      <c r="C55" s="186"/>
    </row>
    <row r="56" spans="1:3" ht="16.5" thickBot="1" x14ac:dyDescent="0.3"/>
    <row r="57" spans="1:3" ht="16.5" thickBot="1" x14ac:dyDescent="0.3">
      <c r="A57" s="27">
        <v>2</v>
      </c>
      <c r="B57" s="72" t="s">
        <v>76</v>
      </c>
      <c r="C57" s="72" t="s">
        <v>41</v>
      </c>
    </row>
    <row r="58" spans="1:3" ht="16.5" thickBot="1" x14ac:dyDescent="0.3">
      <c r="A58" s="29" t="s">
        <v>56</v>
      </c>
      <c r="B58" s="30" t="s">
        <v>57</v>
      </c>
      <c r="C58" s="43">
        <f>D27</f>
        <v>337.48182533333335</v>
      </c>
    </row>
    <row r="59" spans="1:3" ht="16.5" thickBot="1" x14ac:dyDescent="0.3">
      <c r="A59" s="29" t="s">
        <v>61</v>
      </c>
      <c r="B59" s="30" t="s">
        <v>62</v>
      </c>
      <c r="C59" s="43">
        <f>D41</f>
        <v>721.47423521600012</v>
      </c>
    </row>
    <row r="60" spans="1:3" ht="16.5" thickBot="1" x14ac:dyDescent="0.3">
      <c r="A60" s="29" t="s">
        <v>72</v>
      </c>
      <c r="B60" s="30" t="s">
        <v>73</v>
      </c>
      <c r="C60" s="43">
        <f>C52</f>
        <v>5186.6099999999997</v>
      </c>
    </row>
    <row r="61" spans="1:3" ht="16.5" thickBot="1" x14ac:dyDescent="0.3">
      <c r="A61" s="183" t="s">
        <v>5</v>
      </c>
      <c r="B61" s="184"/>
      <c r="C61" s="43">
        <f>SUM(C58:C60)</f>
        <v>6245.5660605493331</v>
      </c>
    </row>
    <row r="62" spans="1:3" x14ac:dyDescent="0.25">
      <c r="A62" s="6"/>
    </row>
    <row r="64" spans="1:3" x14ac:dyDescent="0.25">
      <c r="A64" s="185" t="s">
        <v>77</v>
      </c>
      <c r="B64" s="185"/>
      <c r="C64" s="185"/>
    </row>
    <row r="65" spans="1:4" ht="16.5" thickBot="1" x14ac:dyDescent="0.3"/>
    <row r="66" spans="1:4" ht="16.5" thickBot="1" x14ac:dyDescent="0.3">
      <c r="A66" s="27">
        <v>3</v>
      </c>
      <c r="B66" s="72" t="s">
        <v>78</v>
      </c>
      <c r="C66" s="72" t="s">
        <v>63</v>
      </c>
      <c r="D66" s="72" t="s">
        <v>41</v>
      </c>
    </row>
    <row r="67" spans="1:4" ht="16.5" thickBot="1" x14ac:dyDescent="0.3">
      <c r="A67" s="29" t="s">
        <v>42</v>
      </c>
      <c r="B67" s="33" t="s">
        <v>79</v>
      </c>
      <c r="C67" s="51">
        <v>4.1999999999999997E-3</v>
      </c>
      <c r="D67" s="43">
        <f>(C$17)*C67</f>
        <v>7.2900239999999998</v>
      </c>
    </row>
    <row r="68" spans="1:4" ht="16.5" thickBot="1" x14ac:dyDescent="0.3">
      <c r="A68" s="29" t="s">
        <v>44</v>
      </c>
      <c r="B68" s="49" t="s">
        <v>80</v>
      </c>
      <c r="C68" s="52">
        <f>C67*8%</f>
        <v>3.3599999999999998E-4</v>
      </c>
      <c r="D68" s="43">
        <f t="shared" ref="D68:D73" si="1">(C$17)*C68</f>
        <v>0.58320191999999993</v>
      </c>
    </row>
    <row r="69" spans="1:4" ht="16.5" thickBot="1" x14ac:dyDescent="0.3">
      <c r="A69" s="29" t="s">
        <v>46</v>
      </c>
      <c r="B69" s="33" t="s">
        <v>81</v>
      </c>
      <c r="C69" s="50">
        <v>4.3499999999999997E-2</v>
      </c>
      <c r="D69" s="43">
        <f t="shared" si="1"/>
        <v>75.50381999999999</v>
      </c>
    </row>
    <row r="70" spans="1:4" ht="16.5" thickBot="1" x14ac:dyDescent="0.3">
      <c r="A70" s="29" t="s">
        <v>48</v>
      </c>
      <c r="B70" s="33" t="s">
        <v>82</v>
      </c>
      <c r="C70" s="53">
        <v>1.9400000000000001E-2</v>
      </c>
      <c r="D70" s="43">
        <f t="shared" si="1"/>
        <v>33.672968000000004</v>
      </c>
    </row>
    <row r="71" spans="1:4" ht="16.5" thickBot="1" x14ac:dyDescent="0.3">
      <c r="A71" s="29" t="s">
        <v>49</v>
      </c>
      <c r="B71" s="33" t="s">
        <v>83</v>
      </c>
      <c r="C71" s="50">
        <v>7.0000000000000001E-3</v>
      </c>
      <c r="D71" s="43">
        <f t="shared" si="1"/>
        <v>12.150040000000001</v>
      </c>
    </row>
    <row r="72" spans="1:4" ht="16.5" thickBot="1" x14ac:dyDescent="0.3">
      <c r="A72" s="29" t="s">
        <v>51</v>
      </c>
      <c r="B72" s="33" t="s">
        <v>84</v>
      </c>
      <c r="C72" s="50">
        <v>8.0000000000000004E-4</v>
      </c>
      <c r="D72" s="43">
        <f t="shared" si="1"/>
        <v>1.388576</v>
      </c>
    </row>
    <row r="73" spans="1:4" ht="16.5" thickBot="1" x14ac:dyDescent="0.3">
      <c r="A73" s="183" t="s">
        <v>5</v>
      </c>
      <c r="B73" s="184"/>
      <c r="C73" s="50">
        <f>SUM(C67:C72)</f>
        <v>7.5235999999999997E-2</v>
      </c>
      <c r="D73" s="43">
        <f t="shared" si="1"/>
        <v>130.58862991999999</v>
      </c>
    </row>
    <row r="76" spans="1:4" x14ac:dyDescent="0.25">
      <c r="A76" s="185" t="s">
        <v>85</v>
      </c>
      <c r="B76" s="185"/>
      <c r="C76" s="185"/>
    </row>
    <row r="79" spans="1:4" x14ac:dyDescent="0.25">
      <c r="A79" s="186" t="s">
        <v>86</v>
      </c>
      <c r="B79" s="186"/>
      <c r="C79" s="186"/>
    </row>
    <row r="80" spans="1:4" ht="16.5" thickBot="1" x14ac:dyDescent="0.3">
      <c r="A80" s="26"/>
    </row>
    <row r="81" spans="1:4" ht="16.5" thickBot="1" x14ac:dyDescent="0.3">
      <c r="A81" s="27" t="s">
        <v>87</v>
      </c>
      <c r="B81" s="72" t="s">
        <v>88</v>
      </c>
      <c r="C81" s="72" t="s">
        <v>63</v>
      </c>
      <c r="D81" s="72" t="s">
        <v>41</v>
      </c>
    </row>
    <row r="82" spans="1:4" ht="16.5" thickBot="1" x14ac:dyDescent="0.3">
      <c r="A82" s="29" t="s">
        <v>42</v>
      </c>
      <c r="B82" s="30" t="s">
        <v>6</v>
      </c>
      <c r="C82" s="50">
        <v>8.3299999999999999E-2</v>
      </c>
      <c r="D82" s="43">
        <f>(C$17)*C82</f>
        <v>144.585476</v>
      </c>
    </row>
    <row r="83" spans="1:4" ht="16.5" thickBot="1" x14ac:dyDescent="0.3">
      <c r="A83" s="29" t="s">
        <v>44</v>
      </c>
      <c r="B83" s="30" t="s">
        <v>88</v>
      </c>
      <c r="C83" s="50">
        <v>8.2000000000000007E-3</v>
      </c>
      <c r="D83" s="43">
        <f t="shared" ref="D83:D88" si="2">(C$17)*C83</f>
        <v>14.232904000000001</v>
      </c>
    </row>
    <row r="84" spans="1:4" ht="16.5" thickBot="1" x14ac:dyDescent="0.3">
      <c r="A84" s="29" t="s">
        <v>46</v>
      </c>
      <c r="B84" s="30" t="s">
        <v>89</v>
      </c>
      <c r="C84" s="50">
        <v>2.0000000000000001E-4</v>
      </c>
      <c r="D84" s="43">
        <f t="shared" si="2"/>
        <v>0.34714400000000001</v>
      </c>
    </row>
    <row r="85" spans="1:4" ht="16.5" thickBot="1" x14ac:dyDescent="0.3">
      <c r="A85" s="29" t="s">
        <v>48</v>
      </c>
      <c r="B85" s="30" t="s">
        <v>90</v>
      </c>
      <c r="C85" s="50">
        <v>2.9999999999999997E-4</v>
      </c>
      <c r="D85" s="43">
        <f t="shared" si="2"/>
        <v>0.52071599999999996</v>
      </c>
    </row>
    <row r="86" spans="1:4" ht="16.5" thickBot="1" x14ac:dyDescent="0.3">
      <c r="A86" s="29" t="s">
        <v>49</v>
      </c>
      <c r="B86" s="30" t="s">
        <v>91</v>
      </c>
      <c r="C86" s="50">
        <v>6.1000000000000004E-3</v>
      </c>
      <c r="D86" s="43">
        <f t="shared" si="2"/>
        <v>10.587892</v>
      </c>
    </row>
    <row r="87" spans="1:4" ht="16.5" thickBot="1" x14ac:dyDescent="0.3">
      <c r="A87" s="29" t="s">
        <v>51</v>
      </c>
      <c r="B87" s="30" t="s">
        <v>53</v>
      </c>
      <c r="C87" s="50">
        <v>0</v>
      </c>
      <c r="D87" s="43">
        <f t="shared" si="2"/>
        <v>0</v>
      </c>
    </row>
    <row r="88" spans="1:4" ht="16.5" thickBot="1" x14ac:dyDescent="0.3">
      <c r="A88" s="183" t="s">
        <v>70</v>
      </c>
      <c r="B88" s="184"/>
      <c r="C88" s="50">
        <v>9.8100000000000007E-2</v>
      </c>
      <c r="D88" s="43">
        <f t="shared" si="2"/>
        <v>170.27413200000001</v>
      </c>
    </row>
    <row r="91" spans="1:4" x14ac:dyDescent="0.25">
      <c r="A91" s="186" t="s">
        <v>92</v>
      </c>
      <c r="B91" s="186"/>
      <c r="C91" s="186"/>
    </row>
    <row r="92" spans="1:4" ht="16.5" thickBot="1" x14ac:dyDescent="0.3">
      <c r="A92" s="26"/>
    </row>
    <row r="93" spans="1:4" ht="16.5" thickBot="1" x14ac:dyDescent="0.3">
      <c r="A93" s="27" t="s">
        <v>93</v>
      </c>
      <c r="B93" s="72" t="s">
        <v>94</v>
      </c>
      <c r="C93" s="72" t="s">
        <v>41</v>
      </c>
    </row>
    <row r="94" spans="1:4" ht="16.5" thickBot="1" x14ac:dyDescent="0.3">
      <c r="A94" s="29" t="s">
        <v>42</v>
      </c>
      <c r="B94" s="30" t="s">
        <v>110</v>
      </c>
      <c r="C94" s="42"/>
    </row>
    <row r="95" spans="1:4" ht="16.5" thickBot="1" x14ac:dyDescent="0.3">
      <c r="A95" s="183" t="s">
        <v>5</v>
      </c>
      <c r="B95" s="184"/>
      <c r="C95" s="42"/>
    </row>
    <row r="98" spans="1:3" x14ac:dyDescent="0.25">
      <c r="A98" s="186" t="s">
        <v>95</v>
      </c>
      <c r="B98" s="186"/>
      <c r="C98" s="186"/>
    </row>
    <row r="99" spans="1:3" ht="16.5" thickBot="1" x14ac:dyDescent="0.3">
      <c r="A99" s="26"/>
    </row>
    <row r="100" spans="1:3" ht="16.5" thickBot="1" x14ac:dyDescent="0.3">
      <c r="A100" s="27">
        <v>4</v>
      </c>
      <c r="B100" s="72" t="s">
        <v>96</v>
      </c>
      <c r="C100" s="72" t="s">
        <v>41</v>
      </c>
    </row>
    <row r="101" spans="1:3" ht="16.5" thickBot="1" x14ac:dyDescent="0.3">
      <c r="A101" s="29" t="s">
        <v>87</v>
      </c>
      <c r="B101" s="30" t="s">
        <v>88</v>
      </c>
      <c r="C101" s="43">
        <f>D88</f>
        <v>170.27413200000001</v>
      </c>
    </row>
    <row r="102" spans="1:3" ht="16.5" thickBot="1" x14ac:dyDescent="0.3">
      <c r="A102" s="29" t="s">
        <v>93</v>
      </c>
      <c r="B102" s="30" t="s">
        <v>94</v>
      </c>
      <c r="C102" s="43">
        <f>C95</f>
        <v>0</v>
      </c>
    </row>
    <row r="103" spans="1:3" ht="16.5" thickBot="1" x14ac:dyDescent="0.3">
      <c r="A103" s="183" t="s">
        <v>5</v>
      </c>
      <c r="B103" s="184"/>
      <c r="C103" s="62">
        <f>C101+C102</f>
        <v>170.27413200000001</v>
      </c>
    </row>
    <row r="106" spans="1:3" x14ac:dyDescent="0.25">
      <c r="A106" s="185" t="s">
        <v>97</v>
      </c>
      <c r="B106" s="185"/>
      <c r="C106" s="185"/>
    </row>
    <row r="107" spans="1:3" ht="16.5" thickBot="1" x14ac:dyDescent="0.3"/>
    <row r="108" spans="1:3" ht="16.5" thickBot="1" x14ac:dyDescent="0.3">
      <c r="A108" s="27">
        <v>5</v>
      </c>
      <c r="B108" s="34" t="s">
        <v>24</v>
      </c>
      <c r="C108" s="72" t="s">
        <v>41</v>
      </c>
    </row>
    <row r="109" spans="1:3" ht="16.5" thickBot="1" x14ac:dyDescent="0.3">
      <c r="A109" s="29" t="s">
        <v>42</v>
      </c>
      <c r="B109" s="30" t="s">
        <v>98</v>
      </c>
      <c r="C109" s="43">
        <f>'Planilha de Apoio'!C42</f>
        <v>86.948888888888902</v>
      </c>
    </row>
    <row r="110" spans="1:3" ht="16.5" thickBot="1" x14ac:dyDescent="0.3">
      <c r="A110" s="29" t="s">
        <v>44</v>
      </c>
      <c r="B110" s="30" t="s">
        <v>588</v>
      </c>
      <c r="C110" s="43">
        <f>'Planilha de Apoio'!G148</f>
        <v>204.45263458333329</v>
      </c>
    </row>
    <row r="111" spans="1:3" ht="16.5" thickBot="1" x14ac:dyDescent="0.3">
      <c r="A111" s="29" t="s">
        <v>46</v>
      </c>
      <c r="B111" s="30" t="s">
        <v>100</v>
      </c>
      <c r="C111" s="43">
        <v>0</v>
      </c>
    </row>
    <row r="112" spans="1:3" ht="16.5" thickBot="1" x14ac:dyDescent="0.3">
      <c r="A112" s="29" t="s">
        <v>48</v>
      </c>
      <c r="B112" s="30" t="s">
        <v>198</v>
      </c>
      <c r="C112" s="43">
        <v>0</v>
      </c>
    </row>
    <row r="113" spans="1:4" ht="16.5" thickBot="1" x14ac:dyDescent="0.3">
      <c r="A113" s="183" t="s">
        <v>70</v>
      </c>
      <c r="B113" s="184"/>
      <c r="C113" s="43">
        <f>SUM(C109:C112)</f>
        <v>291.40152347222221</v>
      </c>
    </row>
    <row r="116" spans="1:4" x14ac:dyDescent="0.25">
      <c r="A116" s="185" t="s">
        <v>101</v>
      </c>
      <c r="B116" s="185"/>
      <c r="C116" s="185"/>
    </row>
    <row r="117" spans="1:4" ht="16.5" thickBot="1" x14ac:dyDescent="0.3"/>
    <row r="118" spans="1:4" ht="16.5" thickBot="1" x14ac:dyDescent="0.3">
      <c r="A118" s="27">
        <v>6</v>
      </c>
      <c r="B118" s="34" t="s">
        <v>25</v>
      </c>
      <c r="C118" s="72" t="s">
        <v>63</v>
      </c>
      <c r="D118" s="72" t="s">
        <v>41</v>
      </c>
    </row>
    <row r="119" spans="1:4" ht="16.5" thickBot="1" x14ac:dyDescent="0.3">
      <c r="A119" s="29" t="s">
        <v>42</v>
      </c>
      <c r="B119" s="66" t="s">
        <v>26</v>
      </c>
      <c r="C119" s="165">
        <v>9.0999999999999998E-2</v>
      </c>
      <c r="D119" s="68">
        <f>C119*C138</f>
        <v>780.1930814806816</v>
      </c>
    </row>
    <row r="120" spans="1:4" ht="16.5" thickBot="1" x14ac:dyDescent="0.3">
      <c r="A120" s="29" t="s">
        <v>44</v>
      </c>
      <c r="B120" s="66" t="s">
        <v>28</v>
      </c>
      <c r="C120" s="165">
        <v>5.8999999999999997E-2</v>
      </c>
      <c r="D120" s="68">
        <f>C120*(C138+D119)</f>
        <v>551.87086221791196</v>
      </c>
    </row>
    <row r="121" spans="1:4" ht="16.5" thickBot="1" x14ac:dyDescent="0.3">
      <c r="A121" s="29" t="s">
        <v>46</v>
      </c>
      <c r="B121" s="30" t="s">
        <v>27</v>
      </c>
      <c r="C121" s="32"/>
      <c r="D121" s="43">
        <f>(C$17+C$61+D$73+C$103+C$113)*C121</f>
        <v>0</v>
      </c>
    </row>
    <row r="122" spans="1:4" ht="16.5" thickBot="1" x14ac:dyDescent="0.3">
      <c r="A122" s="29"/>
      <c r="B122" s="66" t="s">
        <v>114</v>
      </c>
      <c r="C122" s="67">
        <f>C123+C124</f>
        <v>9.2499999999999999E-2</v>
      </c>
      <c r="D122" s="68">
        <f>C122*(C$138+D$119+D$120)</f>
        <v>916.26932179171388</v>
      </c>
    </row>
    <row r="123" spans="1:4" ht="16.5" thickBot="1" x14ac:dyDescent="0.3">
      <c r="A123" s="29"/>
      <c r="B123" s="30" t="s">
        <v>112</v>
      </c>
      <c r="C123" s="166">
        <v>7.5999999999999998E-2</v>
      </c>
      <c r="D123" s="43">
        <f>C123*(C$138+D$119+D$120)</f>
        <v>752.82668601265141</v>
      </c>
    </row>
    <row r="124" spans="1:4" ht="16.5" thickBot="1" x14ac:dyDescent="0.3">
      <c r="A124" s="29"/>
      <c r="B124" s="30" t="s">
        <v>113</v>
      </c>
      <c r="C124" s="166">
        <v>1.6500000000000001E-2</v>
      </c>
      <c r="D124" s="43">
        <f>C124*(C$138+D$119+D$120)</f>
        <v>163.4426357790625</v>
      </c>
    </row>
    <row r="125" spans="1:4" ht="16.5" thickBot="1" x14ac:dyDescent="0.3">
      <c r="A125" s="29"/>
      <c r="B125" s="66" t="s">
        <v>115</v>
      </c>
      <c r="C125" s="67">
        <v>0</v>
      </c>
      <c r="D125" s="68">
        <f>C125*(C$138+D$119+D$120)</f>
        <v>0</v>
      </c>
    </row>
    <row r="126" spans="1:4" ht="16.5" thickBot="1" x14ac:dyDescent="0.3">
      <c r="A126" s="29"/>
      <c r="B126" s="66" t="s">
        <v>116</v>
      </c>
      <c r="C126" s="166">
        <v>0.03</v>
      </c>
      <c r="D126" s="68">
        <f>C126*(C$138+D$119+D$120)</f>
        <v>297.16842868920452</v>
      </c>
    </row>
    <row r="127" spans="1:4" ht="16.5" thickBot="1" x14ac:dyDescent="0.3">
      <c r="A127" s="187" t="s">
        <v>70</v>
      </c>
      <c r="B127" s="188"/>
      <c r="C127" s="67">
        <f>C119+C120+C122+C125+C126</f>
        <v>0.27249999999999996</v>
      </c>
      <c r="D127" s="68">
        <f>D119+D120+D122+D125+D126</f>
        <v>2545.501694179512</v>
      </c>
    </row>
    <row r="130" spans="1:3" x14ac:dyDescent="0.25">
      <c r="A130" s="185" t="s">
        <v>102</v>
      </c>
      <c r="B130" s="185"/>
      <c r="C130" s="185"/>
    </row>
    <row r="131" spans="1:3" ht="16.5" thickBot="1" x14ac:dyDescent="0.3"/>
    <row r="132" spans="1:3" ht="16.5" thickBot="1" x14ac:dyDescent="0.3">
      <c r="A132" s="27"/>
      <c r="B132" s="72" t="s">
        <v>103</v>
      </c>
      <c r="C132" s="72" t="s">
        <v>41</v>
      </c>
    </row>
    <row r="133" spans="1:3" ht="16.5" thickBot="1" x14ac:dyDescent="0.3">
      <c r="A133" s="36" t="s">
        <v>42</v>
      </c>
      <c r="B133" s="30" t="s">
        <v>39</v>
      </c>
      <c r="C133" s="65">
        <f>C17</f>
        <v>1735.72</v>
      </c>
    </row>
    <row r="134" spans="1:3" ht="16.5" thickBot="1" x14ac:dyDescent="0.3">
      <c r="A134" s="36" t="s">
        <v>44</v>
      </c>
      <c r="B134" s="30" t="s">
        <v>54</v>
      </c>
      <c r="C134" s="65">
        <f>C61</f>
        <v>6245.5660605493331</v>
      </c>
    </row>
    <row r="135" spans="1:3" ht="16.5" thickBot="1" x14ac:dyDescent="0.3">
      <c r="A135" s="36" t="s">
        <v>46</v>
      </c>
      <c r="B135" s="30" t="s">
        <v>77</v>
      </c>
      <c r="C135" s="65">
        <f>D73</f>
        <v>130.58862991999999</v>
      </c>
    </row>
    <row r="136" spans="1:3" ht="16.5" thickBot="1" x14ac:dyDescent="0.3">
      <c r="A136" s="36" t="s">
        <v>48</v>
      </c>
      <c r="B136" s="30" t="s">
        <v>85</v>
      </c>
      <c r="C136" s="65">
        <f>D88</f>
        <v>170.27413200000001</v>
      </c>
    </row>
    <row r="137" spans="1:3" ht="16.5" thickBot="1" x14ac:dyDescent="0.3">
      <c r="A137" s="36" t="s">
        <v>49</v>
      </c>
      <c r="B137" s="30" t="s">
        <v>97</v>
      </c>
      <c r="C137" s="65">
        <f>C113</f>
        <v>291.40152347222221</v>
      </c>
    </row>
    <row r="138" spans="1:3" ht="16.5" customHeight="1" thickBot="1" x14ac:dyDescent="0.3">
      <c r="A138" s="183" t="s">
        <v>104</v>
      </c>
      <c r="B138" s="184"/>
      <c r="C138" s="65">
        <f>SUM(C133:C137)</f>
        <v>8573.5503459415559</v>
      </c>
    </row>
    <row r="139" spans="1:3" ht="16.5" thickBot="1" x14ac:dyDescent="0.3">
      <c r="A139" s="36" t="s">
        <v>51</v>
      </c>
      <c r="B139" s="30" t="s">
        <v>105</v>
      </c>
      <c r="C139" s="65">
        <f>D127</f>
        <v>2545.501694179512</v>
      </c>
    </row>
    <row r="140" spans="1:3" ht="16.5" customHeight="1" thickBot="1" x14ac:dyDescent="0.3">
      <c r="A140" s="183" t="s">
        <v>106</v>
      </c>
      <c r="B140" s="184"/>
      <c r="C140" s="69">
        <f>C138+C139</f>
        <v>11119.052040121067</v>
      </c>
    </row>
    <row r="142" spans="1:3" x14ac:dyDescent="0.25">
      <c r="B142" s="167" t="s">
        <v>274</v>
      </c>
      <c r="C142" s="168">
        <f>C140*12</f>
        <v>133428.6244814528</v>
      </c>
    </row>
  </sheetData>
  <mergeCells count="34">
    <mergeCell ref="A30:D30"/>
    <mergeCell ref="A1:D1"/>
    <mergeCell ref="A2:D2"/>
    <mergeCell ref="A3:D3"/>
    <mergeCell ref="B4:C4"/>
    <mergeCell ref="B5:C5"/>
    <mergeCell ref="B6:C6"/>
    <mergeCell ref="A7:C7"/>
    <mergeCell ref="A17:B17"/>
    <mergeCell ref="A20:C20"/>
    <mergeCell ref="A22:C22"/>
    <mergeCell ref="A27:B27"/>
    <mergeCell ref="A18:C19"/>
    <mergeCell ref="A95:B95"/>
    <mergeCell ref="A41:B41"/>
    <mergeCell ref="A44:C44"/>
    <mergeCell ref="A52:B52"/>
    <mergeCell ref="A55:C55"/>
    <mergeCell ref="A61:B61"/>
    <mergeCell ref="A64:C64"/>
    <mergeCell ref="A73:B73"/>
    <mergeCell ref="A76:C76"/>
    <mergeCell ref="A79:C79"/>
    <mergeCell ref="A88:B88"/>
    <mergeCell ref="A91:C91"/>
    <mergeCell ref="A130:C130"/>
    <mergeCell ref="A138:B138"/>
    <mergeCell ref="A140:B140"/>
    <mergeCell ref="A98:C98"/>
    <mergeCell ref="A103:B103"/>
    <mergeCell ref="A106:C106"/>
    <mergeCell ref="A113:B113"/>
    <mergeCell ref="A116:C116"/>
    <mergeCell ref="A127:B127"/>
  </mergeCells>
  <pageMargins left="0.511811024" right="0.511811024" top="0.78740157499999996" bottom="0.78740157499999996" header="0.31496062000000002" footer="0.31496062000000002"/>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
  <sheetViews>
    <sheetView showGridLines="0" topLeftCell="A18" zoomScaleNormal="100" workbookViewId="0">
      <selection activeCell="C127" sqref="C127"/>
    </sheetView>
  </sheetViews>
  <sheetFormatPr defaultRowHeight="15.75" x14ac:dyDescent="0.25"/>
  <cols>
    <col min="1" max="1" width="16.28515625" style="35" customWidth="1"/>
    <col min="2" max="2" width="73.28515625" style="35" customWidth="1"/>
    <col min="3" max="3" width="18" style="35" customWidth="1"/>
    <col min="4" max="4" width="14.28515625" style="35" customWidth="1"/>
    <col min="5" max="5" width="12.7109375" style="35" customWidth="1"/>
    <col min="6" max="6" width="12" style="35" customWidth="1"/>
    <col min="7" max="7" width="15.140625" style="35" customWidth="1"/>
    <col min="8" max="16384" width="9.140625" style="35"/>
  </cols>
  <sheetData>
    <row r="1" spans="1:4" ht="23.25" x14ac:dyDescent="0.35">
      <c r="A1" s="193" t="s">
        <v>107</v>
      </c>
      <c r="B1" s="193"/>
      <c r="C1" s="193"/>
      <c r="D1" s="193"/>
    </row>
    <row r="2" spans="1:4" ht="23.25" x14ac:dyDescent="0.35">
      <c r="A2" s="193" t="s">
        <v>108</v>
      </c>
      <c r="B2" s="193"/>
      <c r="C2" s="193"/>
      <c r="D2" s="193"/>
    </row>
    <row r="3" spans="1:4" ht="27.75" customHeight="1" x14ac:dyDescent="0.25">
      <c r="A3" s="195" t="s">
        <v>109</v>
      </c>
      <c r="B3" s="195"/>
      <c r="C3" s="195"/>
      <c r="D3" s="195"/>
    </row>
    <row r="4" spans="1:4" x14ac:dyDescent="0.25">
      <c r="A4" s="55" t="s">
        <v>117</v>
      </c>
      <c r="B4" s="190" t="s">
        <v>256</v>
      </c>
      <c r="C4" s="190"/>
    </row>
    <row r="5" spans="1:4" x14ac:dyDescent="0.25">
      <c r="A5" s="55" t="s">
        <v>118</v>
      </c>
      <c r="B5" s="190" t="s">
        <v>259</v>
      </c>
      <c r="C5" s="190"/>
    </row>
    <row r="6" spans="1:4" x14ac:dyDescent="0.25">
      <c r="A6" s="55" t="s">
        <v>119</v>
      </c>
      <c r="B6" s="190" t="s">
        <v>278</v>
      </c>
      <c r="C6" s="190"/>
    </row>
    <row r="7" spans="1:4" x14ac:dyDescent="0.25">
      <c r="A7" s="194" t="s">
        <v>39</v>
      </c>
      <c r="B7" s="194"/>
      <c r="C7" s="194"/>
    </row>
    <row r="8" spans="1:4" ht="16.5" thickBot="1" x14ac:dyDescent="0.3"/>
    <row r="9" spans="1:4" ht="16.5" thickBot="1" x14ac:dyDescent="0.3">
      <c r="A9" s="27">
        <v>1</v>
      </c>
      <c r="B9" s="118" t="s">
        <v>40</v>
      </c>
      <c r="C9" s="118" t="s">
        <v>41</v>
      </c>
    </row>
    <row r="10" spans="1:4" ht="16.5" thickBot="1" x14ac:dyDescent="0.3">
      <c r="A10" s="29" t="s">
        <v>42</v>
      </c>
      <c r="B10" s="30" t="s">
        <v>43</v>
      </c>
      <c r="C10" s="43">
        <v>1239.8</v>
      </c>
    </row>
    <row r="11" spans="1:4" ht="16.5" thickBot="1" x14ac:dyDescent="0.3">
      <c r="A11" s="29" t="s">
        <v>44</v>
      </c>
      <c r="B11" s="30" t="s">
        <v>45</v>
      </c>
      <c r="C11" s="43"/>
    </row>
    <row r="12" spans="1:4" ht="16.5" thickBot="1" x14ac:dyDescent="0.3">
      <c r="A12" s="29" t="s">
        <v>46</v>
      </c>
      <c r="B12" s="30" t="s">
        <v>47</v>
      </c>
      <c r="C12" s="43"/>
    </row>
    <row r="13" spans="1:4" ht="16.5" thickBot="1" x14ac:dyDescent="0.3">
      <c r="A13" s="29" t="s">
        <v>48</v>
      </c>
      <c r="B13" s="30" t="s">
        <v>4</v>
      </c>
      <c r="C13" s="43"/>
    </row>
    <row r="14" spans="1:4" ht="16.5" thickBot="1" x14ac:dyDescent="0.3">
      <c r="A14" s="29" t="s">
        <v>49</v>
      </c>
      <c r="B14" s="30" t="s">
        <v>50</v>
      </c>
      <c r="C14" s="81"/>
    </row>
    <row r="15" spans="1:4" ht="16.5" thickBot="1" x14ac:dyDescent="0.3">
      <c r="A15" s="29" t="s">
        <v>51</v>
      </c>
      <c r="B15" s="58"/>
      <c r="C15" s="55"/>
    </row>
    <row r="16" spans="1:4" ht="16.5" thickBot="1" x14ac:dyDescent="0.3">
      <c r="A16" s="29" t="s">
        <v>52</v>
      </c>
      <c r="B16" s="58" t="s">
        <v>276</v>
      </c>
      <c r="C16" s="82"/>
    </row>
    <row r="17" spans="1:4" ht="16.5" thickBot="1" x14ac:dyDescent="0.3">
      <c r="A17" s="183" t="s">
        <v>5</v>
      </c>
      <c r="B17" s="184"/>
      <c r="C17" s="62">
        <f>SUM(C10:C16)</f>
        <v>1239.8</v>
      </c>
    </row>
    <row r="18" spans="1:4" x14ac:dyDescent="0.25">
      <c r="A18" s="191"/>
      <c r="B18" s="191"/>
      <c r="C18" s="191"/>
    </row>
    <row r="19" spans="1:4" ht="18.75" customHeight="1" x14ac:dyDescent="0.25">
      <c r="A19" s="192"/>
      <c r="B19" s="192"/>
      <c r="C19" s="192"/>
    </row>
    <row r="20" spans="1:4" x14ac:dyDescent="0.25">
      <c r="A20" s="185" t="s">
        <v>54</v>
      </c>
      <c r="B20" s="185"/>
      <c r="C20" s="185"/>
    </row>
    <row r="21" spans="1:4" x14ac:dyDescent="0.25">
      <c r="A21" s="26"/>
    </row>
    <row r="22" spans="1:4" x14ac:dyDescent="0.25">
      <c r="A22" s="186" t="s">
        <v>55</v>
      </c>
      <c r="B22" s="186"/>
      <c r="C22" s="186"/>
    </row>
    <row r="23" spans="1:4" ht="16.5" thickBot="1" x14ac:dyDescent="0.3"/>
    <row r="24" spans="1:4" ht="16.5" thickBot="1" x14ac:dyDescent="0.3">
      <c r="A24" s="27" t="s">
        <v>56</v>
      </c>
      <c r="B24" s="118" t="s">
        <v>57</v>
      </c>
      <c r="C24" s="118" t="s">
        <v>63</v>
      </c>
      <c r="D24" s="118" t="s">
        <v>41</v>
      </c>
    </row>
    <row r="25" spans="1:4" ht="16.5" thickBot="1" x14ac:dyDescent="0.3">
      <c r="A25" s="29" t="s">
        <v>42</v>
      </c>
      <c r="B25" s="58" t="s">
        <v>58</v>
      </c>
      <c r="C25" s="54">
        <f>1/12</f>
        <v>8.3333333333333329E-2</v>
      </c>
      <c r="D25" s="59">
        <f>C$17*C25</f>
        <v>103.31666666666666</v>
      </c>
    </row>
    <row r="26" spans="1:4" ht="16.5" thickBot="1" x14ac:dyDescent="0.3">
      <c r="A26" s="29" t="s">
        <v>44</v>
      </c>
      <c r="B26" s="56" t="s">
        <v>59</v>
      </c>
      <c r="C26" s="60">
        <v>0.1111</v>
      </c>
      <c r="D26" s="61">
        <f>C$17*C26</f>
        <v>137.74178000000001</v>
      </c>
    </row>
    <row r="27" spans="1:4" ht="16.5" thickBot="1" x14ac:dyDescent="0.3">
      <c r="A27" s="183" t="s">
        <v>5</v>
      </c>
      <c r="B27" s="184"/>
      <c r="C27" s="63">
        <f>SUM(C25:C26)</f>
        <v>0.19443333333333335</v>
      </c>
      <c r="D27" s="64">
        <f>C$17*C27</f>
        <v>241.05844666666667</v>
      </c>
    </row>
    <row r="30" spans="1:4" ht="32.25" customHeight="1" x14ac:dyDescent="0.25">
      <c r="A30" s="189" t="s">
        <v>60</v>
      </c>
      <c r="B30" s="189"/>
      <c r="C30" s="189"/>
      <c r="D30" s="189"/>
    </row>
    <row r="31" spans="1:4" ht="16.5" thickBot="1" x14ac:dyDescent="0.3"/>
    <row r="32" spans="1:4" ht="16.5" thickBot="1" x14ac:dyDescent="0.3">
      <c r="A32" s="27" t="s">
        <v>61</v>
      </c>
      <c r="B32" s="118" t="s">
        <v>62</v>
      </c>
      <c r="C32" s="118" t="s">
        <v>63</v>
      </c>
      <c r="D32" s="118" t="s">
        <v>41</v>
      </c>
    </row>
    <row r="33" spans="1:4" ht="16.5" thickBot="1" x14ac:dyDescent="0.3">
      <c r="A33" s="29" t="s">
        <v>42</v>
      </c>
      <c r="B33" s="30" t="s">
        <v>64</v>
      </c>
      <c r="C33" s="32">
        <v>0.2</v>
      </c>
      <c r="D33" s="61">
        <f t="shared" ref="D33:D41" si="0">(D$27+C$17)*C33</f>
        <v>296.17168933333335</v>
      </c>
    </row>
    <row r="34" spans="1:4" ht="16.5" thickBot="1" x14ac:dyDescent="0.3">
      <c r="A34" s="29" t="s">
        <v>44</v>
      </c>
      <c r="B34" s="30" t="s">
        <v>65</v>
      </c>
      <c r="C34" s="32">
        <v>2.5000000000000001E-2</v>
      </c>
      <c r="D34" s="61">
        <f t="shared" si="0"/>
        <v>37.021461166666668</v>
      </c>
    </row>
    <row r="35" spans="1:4" ht="16.5" thickBot="1" x14ac:dyDescent="0.3">
      <c r="A35" s="29" t="s">
        <v>46</v>
      </c>
      <c r="B35" s="30" t="s">
        <v>66</v>
      </c>
      <c r="C35" s="166">
        <v>0.01</v>
      </c>
      <c r="D35" s="61">
        <f t="shared" si="0"/>
        <v>14.808584466666666</v>
      </c>
    </row>
    <row r="36" spans="1:4" ht="16.5" thickBot="1" x14ac:dyDescent="0.3">
      <c r="A36" s="29" t="s">
        <v>48</v>
      </c>
      <c r="B36" s="30" t="s">
        <v>67</v>
      </c>
      <c r="C36" s="32">
        <v>1.4999999999999999E-2</v>
      </c>
      <c r="D36" s="61">
        <f t="shared" si="0"/>
        <v>22.212876699999999</v>
      </c>
    </row>
    <row r="37" spans="1:4" ht="16.5" thickBot="1" x14ac:dyDescent="0.3">
      <c r="A37" s="29" t="s">
        <v>49</v>
      </c>
      <c r="B37" s="30" t="s">
        <v>68</v>
      </c>
      <c r="C37" s="32">
        <v>0.01</v>
      </c>
      <c r="D37" s="61">
        <f t="shared" si="0"/>
        <v>14.808584466666666</v>
      </c>
    </row>
    <row r="38" spans="1:4" ht="16.5" thickBot="1" x14ac:dyDescent="0.3">
      <c r="A38" s="29" t="s">
        <v>51</v>
      </c>
      <c r="B38" s="30" t="s">
        <v>7</v>
      </c>
      <c r="C38" s="32">
        <v>6.0000000000000001E-3</v>
      </c>
      <c r="D38" s="61">
        <f t="shared" si="0"/>
        <v>8.8851506800000006</v>
      </c>
    </row>
    <row r="39" spans="1:4" ht="16.5" thickBot="1" x14ac:dyDescent="0.3">
      <c r="A39" s="29" t="s">
        <v>52</v>
      </c>
      <c r="B39" s="30" t="s">
        <v>8</v>
      </c>
      <c r="C39" s="32">
        <v>2E-3</v>
      </c>
      <c r="D39" s="61">
        <f t="shared" si="0"/>
        <v>2.9617168933333331</v>
      </c>
    </row>
    <row r="40" spans="1:4" ht="16.5" thickBot="1" x14ac:dyDescent="0.3">
      <c r="A40" s="29" t="s">
        <v>69</v>
      </c>
      <c r="B40" s="30" t="s">
        <v>9</v>
      </c>
      <c r="C40" s="32">
        <v>0.08</v>
      </c>
      <c r="D40" s="61">
        <f t="shared" si="0"/>
        <v>118.46867573333333</v>
      </c>
    </row>
    <row r="41" spans="1:4" ht="16.5" thickBot="1" x14ac:dyDescent="0.3">
      <c r="A41" s="183" t="s">
        <v>70</v>
      </c>
      <c r="B41" s="184"/>
      <c r="C41" s="32">
        <f>SUM(C33:C40)</f>
        <v>0.34800000000000003</v>
      </c>
      <c r="D41" s="61">
        <f t="shared" si="0"/>
        <v>515.33873944000004</v>
      </c>
    </row>
    <row r="44" spans="1:4" x14ac:dyDescent="0.25">
      <c r="A44" s="186" t="s">
        <v>71</v>
      </c>
      <c r="B44" s="186"/>
      <c r="C44" s="186"/>
    </row>
    <row r="45" spans="1:4" ht="16.5" thickBot="1" x14ac:dyDescent="0.3"/>
    <row r="46" spans="1:4" ht="16.5" thickBot="1" x14ac:dyDescent="0.3">
      <c r="A46" s="27" t="s">
        <v>72</v>
      </c>
      <c r="B46" s="118" t="s">
        <v>73</v>
      </c>
      <c r="C46" s="118" t="s">
        <v>41</v>
      </c>
    </row>
    <row r="47" spans="1:4" ht="16.5" thickBot="1" x14ac:dyDescent="0.3">
      <c r="A47" s="29" t="s">
        <v>42</v>
      </c>
      <c r="B47" s="30" t="s">
        <v>74</v>
      </c>
      <c r="C47" s="43">
        <f>'Planilha de Apoio'!D21</f>
        <v>154.41200000000003</v>
      </c>
    </row>
    <row r="48" spans="1:4" ht="16.5" thickBot="1" x14ac:dyDescent="0.3">
      <c r="A48" s="29" t="s">
        <v>44</v>
      </c>
      <c r="B48" s="30" t="s">
        <v>120</v>
      </c>
      <c r="C48" s="43">
        <f>'Planilha de Apoio'!D25</f>
        <v>389.18</v>
      </c>
    </row>
    <row r="49" spans="1:3" ht="16.5" thickBot="1" x14ac:dyDescent="0.3">
      <c r="A49" s="29" t="s">
        <v>46</v>
      </c>
      <c r="B49" s="30" t="s">
        <v>131</v>
      </c>
      <c r="C49" s="43">
        <v>0</v>
      </c>
    </row>
    <row r="50" spans="1:3" ht="16.5" thickBot="1" x14ac:dyDescent="0.3">
      <c r="A50" s="71" t="s">
        <v>48</v>
      </c>
      <c r="B50" s="70" t="s">
        <v>121</v>
      </c>
      <c r="C50" s="43">
        <f>'Planilha de Apoio'!D29</f>
        <v>129.72999999999999</v>
      </c>
    </row>
    <row r="51" spans="1:3" ht="21" customHeight="1" thickBot="1" x14ac:dyDescent="0.3">
      <c r="A51" s="71" t="s">
        <v>49</v>
      </c>
      <c r="B51" s="57" t="s">
        <v>277</v>
      </c>
      <c r="C51" s="43">
        <f>'Planilha de Apoio'!E7</f>
        <v>1089.1300000000001</v>
      </c>
    </row>
    <row r="52" spans="1:3" ht="16.5" thickBot="1" x14ac:dyDescent="0.3">
      <c r="A52" s="196" t="s">
        <v>5</v>
      </c>
      <c r="B52" s="197"/>
      <c r="C52" s="43">
        <f>SUM(C47:C51)</f>
        <v>1762.4520000000002</v>
      </c>
    </row>
    <row r="55" spans="1:3" x14ac:dyDescent="0.25">
      <c r="A55" s="186" t="s">
        <v>75</v>
      </c>
      <c r="B55" s="186"/>
      <c r="C55" s="186"/>
    </row>
    <row r="56" spans="1:3" ht="16.5" thickBot="1" x14ac:dyDescent="0.3"/>
    <row r="57" spans="1:3" ht="16.5" thickBot="1" x14ac:dyDescent="0.3">
      <c r="A57" s="27">
        <v>2</v>
      </c>
      <c r="B57" s="118" t="s">
        <v>76</v>
      </c>
      <c r="C57" s="118" t="s">
        <v>41</v>
      </c>
    </row>
    <row r="58" spans="1:3" ht="16.5" thickBot="1" x14ac:dyDescent="0.3">
      <c r="A58" s="29" t="s">
        <v>56</v>
      </c>
      <c r="B58" s="30" t="s">
        <v>57</v>
      </c>
      <c r="C58" s="43">
        <f>D27</f>
        <v>241.05844666666667</v>
      </c>
    </row>
    <row r="59" spans="1:3" ht="16.5" thickBot="1" x14ac:dyDescent="0.3">
      <c r="A59" s="29" t="s">
        <v>61</v>
      </c>
      <c r="B59" s="30" t="s">
        <v>62</v>
      </c>
      <c r="C59" s="43">
        <f>D41</f>
        <v>515.33873944000004</v>
      </c>
    </row>
    <row r="60" spans="1:3" ht="16.5" thickBot="1" x14ac:dyDescent="0.3">
      <c r="A60" s="29" t="s">
        <v>72</v>
      </c>
      <c r="B60" s="30" t="s">
        <v>73</v>
      </c>
      <c r="C60" s="43">
        <f>C52</f>
        <v>1762.4520000000002</v>
      </c>
    </row>
    <row r="61" spans="1:3" ht="16.5" thickBot="1" x14ac:dyDescent="0.3">
      <c r="A61" s="183" t="s">
        <v>5</v>
      </c>
      <c r="B61" s="184"/>
      <c r="C61" s="43">
        <f>SUM(C58:C60)</f>
        <v>2518.8491861066668</v>
      </c>
    </row>
    <row r="62" spans="1:3" x14ac:dyDescent="0.25">
      <c r="A62" s="6"/>
    </row>
    <row r="64" spans="1:3" x14ac:dyDescent="0.25">
      <c r="A64" s="185" t="s">
        <v>77</v>
      </c>
      <c r="B64" s="185"/>
      <c r="C64" s="185"/>
    </row>
    <row r="65" spans="1:4" ht="16.5" thickBot="1" x14ac:dyDescent="0.3"/>
    <row r="66" spans="1:4" ht="16.5" thickBot="1" x14ac:dyDescent="0.3">
      <c r="A66" s="27">
        <v>3</v>
      </c>
      <c r="B66" s="118" t="s">
        <v>78</v>
      </c>
      <c r="C66" s="118" t="s">
        <v>63</v>
      </c>
      <c r="D66" s="118" t="s">
        <v>41</v>
      </c>
    </row>
    <row r="67" spans="1:4" ht="16.5" thickBot="1" x14ac:dyDescent="0.3">
      <c r="A67" s="29" t="s">
        <v>42</v>
      </c>
      <c r="B67" s="33" t="s">
        <v>79</v>
      </c>
      <c r="C67" s="51">
        <v>4.1999999999999997E-3</v>
      </c>
      <c r="D67" s="43">
        <f>(C$17)*C67</f>
        <v>5.2071599999999991</v>
      </c>
    </row>
    <row r="68" spans="1:4" ht="16.5" thickBot="1" x14ac:dyDescent="0.3">
      <c r="A68" s="29" t="s">
        <v>44</v>
      </c>
      <c r="B68" s="49" t="s">
        <v>80</v>
      </c>
      <c r="C68" s="52">
        <f>C67*8%</f>
        <v>3.3599999999999998E-4</v>
      </c>
      <c r="D68" s="43">
        <f t="shared" ref="D68:D73" si="1">(C$17)*C68</f>
        <v>0.41657279999999997</v>
      </c>
    </row>
    <row r="69" spans="1:4" ht="16.5" thickBot="1" x14ac:dyDescent="0.3">
      <c r="A69" s="29" t="s">
        <v>46</v>
      </c>
      <c r="B69" s="33" t="s">
        <v>81</v>
      </c>
      <c r="C69" s="50">
        <v>4.3499999999999997E-2</v>
      </c>
      <c r="D69" s="43">
        <f t="shared" si="1"/>
        <v>53.931299999999993</v>
      </c>
    </row>
    <row r="70" spans="1:4" ht="16.5" thickBot="1" x14ac:dyDescent="0.3">
      <c r="A70" s="29" t="s">
        <v>48</v>
      </c>
      <c r="B70" s="33" t="s">
        <v>82</v>
      </c>
      <c r="C70" s="53">
        <v>1.9400000000000001E-2</v>
      </c>
      <c r="D70" s="43">
        <f t="shared" si="1"/>
        <v>24.052119999999999</v>
      </c>
    </row>
    <row r="71" spans="1:4" ht="16.5" thickBot="1" x14ac:dyDescent="0.3">
      <c r="A71" s="29" t="s">
        <v>49</v>
      </c>
      <c r="B71" s="33" t="s">
        <v>83</v>
      </c>
      <c r="C71" s="50">
        <v>7.0000000000000001E-3</v>
      </c>
      <c r="D71" s="43">
        <f t="shared" si="1"/>
        <v>8.6785999999999994</v>
      </c>
    </row>
    <row r="72" spans="1:4" ht="16.5" thickBot="1" x14ac:dyDescent="0.3">
      <c r="A72" s="29" t="s">
        <v>51</v>
      </c>
      <c r="B72" s="33" t="s">
        <v>84</v>
      </c>
      <c r="C72" s="50">
        <v>8.0000000000000004E-4</v>
      </c>
      <c r="D72" s="43">
        <f t="shared" si="1"/>
        <v>0.99184000000000005</v>
      </c>
    </row>
    <row r="73" spans="1:4" ht="16.5" thickBot="1" x14ac:dyDescent="0.3">
      <c r="A73" s="183" t="s">
        <v>5</v>
      </c>
      <c r="B73" s="184"/>
      <c r="C73" s="50">
        <f>SUM(C67:C72)</f>
        <v>7.5235999999999997E-2</v>
      </c>
      <c r="D73" s="43">
        <f t="shared" si="1"/>
        <v>93.277592799999994</v>
      </c>
    </row>
    <row r="76" spans="1:4" x14ac:dyDescent="0.25">
      <c r="A76" s="185" t="s">
        <v>85</v>
      </c>
      <c r="B76" s="185"/>
      <c r="C76" s="185"/>
    </row>
    <row r="79" spans="1:4" x14ac:dyDescent="0.25">
      <c r="A79" s="186" t="s">
        <v>86</v>
      </c>
      <c r="B79" s="186"/>
      <c r="C79" s="186"/>
    </row>
    <row r="80" spans="1:4" ht="16.5" thickBot="1" x14ac:dyDescent="0.3">
      <c r="A80" s="26"/>
    </row>
    <row r="81" spans="1:4" ht="16.5" thickBot="1" x14ac:dyDescent="0.3">
      <c r="A81" s="27" t="s">
        <v>87</v>
      </c>
      <c r="B81" s="118" t="s">
        <v>88</v>
      </c>
      <c r="C81" s="118" t="s">
        <v>63</v>
      </c>
      <c r="D81" s="118" t="s">
        <v>41</v>
      </c>
    </row>
    <row r="82" spans="1:4" ht="16.5" thickBot="1" x14ac:dyDescent="0.3">
      <c r="A82" s="29" t="s">
        <v>42</v>
      </c>
      <c r="B82" s="30" t="s">
        <v>6</v>
      </c>
      <c r="C82" s="50">
        <v>8.3299999999999999E-2</v>
      </c>
      <c r="D82" s="43">
        <f>(C$17)*C82</f>
        <v>103.27534</v>
      </c>
    </row>
    <row r="83" spans="1:4" ht="16.5" thickBot="1" x14ac:dyDescent="0.3">
      <c r="A83" s="29" t="s">
        <v>44</v>
      </c>
      <c r="B83" s="30" t="s">
        <v>88</v>
      </c>
      <c r="C83" s="50">
        <v>8.2000000000000007E-3</v>
      </c>
      <c r="D83" s="43">
        <f t="shared" ref="D83:D88" si="2">(C$17)*C83</f>
        <v>10.166360000000001</v>
      </c>
    </row>
    <row r="84" spans="1:4" ht="16.5" thickBot="1" x14ac:dyDescent="0.3">
      <c r="A84" s="29" t="s">
        <v>46</v>
      </c>
      <c r="B84" s="30" t="s">
        <v>89</v>
      </c>
      <c r="C84" s="50">
        <v>2.0000000000000001E-4</v>
      </c>
      <c r="D84" s="43">
        <f t="shared" si="2"/>
        <v>0.24796000000000001</v>
      </c>
    </row>
    <row r="85" spans="1:4" ht="16.5" thickBot="1" x14ac:dyDescent="0.3">
      <c r="A85" s="29" t="s">
        <v>48</v>
      </c>
      <c r="B85" s="30" t="s">
        <v>90</v>
      </c>
      <c r="C85" s="50">
        <v>2.9999999999999997E-4</v>
      </c>
      <c r="D85" s="43">
        <f t="shared" si="2"/>
        <v>0.37193999999999994</v>
      </c>
    </row>
    <row r="86" spans="1:4" ht="16.5" thickBot="1" x14ac:dyDescent="0.3">
      <c r="A86" s="29" t="s">
        <v>49</v>
      </c>
      <c r="B86" s="30" t="s">
        <v>91</v>
      </c>
      <c r="C86" s="50">
        <v>6.1000000000000004E-3</v>
      </c>
      <c r="D86" s="43">
        <f t="shared" si="2"/>
        <v>7.5627800000000001</v>
      </c>
    </row>
    <row r="87" spans="1:4" ht="16.5" thickBot="1" x14ac:dyDescent="0.3">
      <c r="A87" s="29" t="s">
        <v>51</v>
      </c>
      <c r="B87" s="30" t="s">
        <v>53</v>
      </c>
      <c r="C87" s="50">
        <v>0</v>
      </c>
      <c r="D87" s="43">
        <f t="shared" si="2"/>
        <v>0</v>
      </c>
    </row>
    <row r="88" spans="1:4" ht="16.5" thickBot="1" x14ac:dyDescent="0.3">
      <c r="A88" s="183" t="s">
        <v>70</v>
      </c>
      <c r="B88" s="184"/>
      <c r="C88" s="50">
        <v>9.8100000000000007E-2</v>
      </c>
      <c r="D88" s="43">
        <f t="shared" si="2"/>
        <v>121.62438</v>
      </c>
    </row>
    <row r="91" spans="1:4" x14ac:dyDescent="0.25">
      <c r="A91" s="186" t="s">
        <v>92</v>
      </c>
      <c r="B91" s="186"/>
      <c r="C91" s="186"/>
    </row>
    <row r="92" spans="1:4" ht="16.5" thickBot="1" x14ac:dyDescent="0.3">
      <c r="A92" s="26"/>
    </row>
    <row r="93" spans="1:4" ht="16.5" thickBot="1" x14ac:dyDescent="0.3">
      <c r="A93" s="27" t="s">
        <v>93</v>
      </c>
      <c r="B93" s="118" t="s">
        <v>94</v>
      </c>
      <c r="C93" s="118" t="s">
        <v>41</v>
      </c>
    </row>
    <row r="94" spans="1:4" ht="16.5" thickBot="1" x14ac:dyDescent="0.3">
      <c r="A94" s="29" t="s">
        <v>42</v>
      </c>
      <c r="B94" s="30" t="s">
        <v>110</v>
      </c>
      <c r="C94" s="42"/>
    </row>
    <row r="95" spans="1:4" ht="16.5" thickBot="1" x14ac:dyDescent="0.3">
      <c r="A95" s="183" t="s">
        <v>5</v>
      </c>
      <c r="B95" s="184"/>
      <c r="C95" s="42"/>
    </row>
    <row r="98" spans="1:3" x14ac:dyDescent="0.25">
      <c r="A98" s="186" t="s">
        <v>95</v>
      </c>
      <c r="B98" s="186"/>
      <c r="C98" s="186"/>
    </row>
    <row r="99" spans="1:3" ht="16.5" thickBot="1" x14ac:dyDescent="0.3">
      <c r="A99" s="26"/>
    </row>
    <row r="100" spans="1:3" ht="16.5" thickBot="1" x14ac:dyDescent="0.3">
      <c r="A100" s="27">
        <v>4</v>
      </c>
      <c r="B100" s="118" t="s">
        <v>96</v>
      </c>
      <c r="C100" s="118" t="s">
        <v>41</v>
      </c>
    </row>
    <row r="101" spans="1:3" ht="16.5" thickBot="1" x14ac:dyDescent="0.3">
      <c r="A101" s="29" t="s">
        <v>87</v>
      </c>
      <c r="B101" s="30" t="s">
        <v>88</v>
      </c>
      <c r="C101" s="43">
        <f>D88</f>
        <v>121.62438</v>
      </c>
    </row>
    <row r="102" spans="1:3" ht="16.5" thickBot="1" x14ac:dyDescent="0.3">
      <c r="A102" s="29" t="s">
        <v>93</v>
      </c>
      <c r="B102" s="30" t="s">
        <v>94</v>
      </c>
      <c r="C102" s="43">
        <f>C95</f>
        <v>0</v>
      </c>
    </row>
    <row r="103" spans="1:3" ht="16.5" thickBot="1" x14ac:dyDescent="0.3">
      <c r="A103" s="183" t="s">
        <v>5</v>
      </c>
      <c r="B103" s="184"/>
      <c r="C103" s="62">
        <f>C101+C102</f>
        <v>121.62438</v>
      </c>
    </row>
    <row r="106" spans="1:3" x14ac:dyDescent="0.25">
      <c r="A106" s="185" t="s">
        <v>97</v>
      </c>
      <c r="B106" s="185"/>
      <c r="C106" s="185"/>
    </row>
    <row r="107" spans="1:3" ht="16.5" thickBot="1" x14ac:dyDescent="0.3"/>
    <row r="108" spans="1:3" ht="16.5" thickBot="1" x14ac:dyDescent="0.3">
      <c r="A108" s="27">
        <v>5</v>
      </c>
      <c r="B108" s="34" t="s">
        <v>24</v>
      </c>
      <c r="C108" s="118" t="s">
        <v>41</v>
      </c>
    </row>
    <row r="109" spans="1:3" ht="16.5" thickBot="1" x14ac:dyDescent="0.3">
      <c r="A109" s="29" t="s">
        <v>42</v>
      </c>
      <c r="B109" s="30" t="s">
        <v>98</v>
      </c>
      <c r="C109" s="43">
        <f>'Planilha de Apoio'!C42</f>
        <v>86.948888888888902</v>
      </c>
    </row>
    <row r="110" spans="1:3" ht="16.5" thickBot="1" x14ac:dyDescent="0.3">
      <c r="A110" s="29" t="s">
        <v>44</v>
      </c>
      <c r="B110" s="30" t="s">
        <v>195</v>
      </c>
      <c r="C110" s="43">
        <f>'Planilha de Apoio'!G158</f>
        <v>171.23305555555555</v>
      </c>
    </row>
    <row r="111" spans="1:3" ht="16.5" thickBot="1" x14ac:dyDescent="0.3">
      <c r="A111" s="29" t="s">
        <v>46</v>
      </c>
      <c r="B111" s="30" t="s">
        <v>100</v>
      </c>
      <c r="C111" s="43">
        <f>'Planilha de Apoio'!G165</f>
        <v>51.935083333333324</v>
      </c>
    </row>
    <row r="112" spans="1:3" ht="16.5" thickBot="1" x14ac:dyDescent="0.3">
      <c r="A112" s="29" t="s">
        <v>48</v>
      </c>
      <c r="B112" s="30" t="s">
        <v>198</v>
      </c>
      <c r="C112" s="43">
        <v>0</v>
      </c>
    </row>
    <row r="113" spans="1:4" ht="16.5" thickBot="1" x14ac:dyDescent="0.3">
      <c r="A113" s="183" t="s">
        <v>70</v>
      </c>
      <c r="B113" s="184"/>
      <c r="C113" s="43">
        <f>SUM(C109:C112)</f>
        <v>310.11702777777782</v>
      </c>
    </row>
    <row r="116" spans="1:4" x14ac:dyDescent="0.25">
      <c r="A116" s="185" t="s">
        <v>101</v>
      </c>
      <c r="B116" s="185"/>
      <c r="C116" s="185"/>
    </row>
    <row r="117" spans="1:4" ht="16.5" thickBot="1" x14ac:dyDescent="0.3"/>
    <row r="118" spans="1:4" ht="16.5" thickBot="1" x14ac:dyDescent="0.3">
      <c r="A118" s="27">
        <v>6</v>
      </c>
      <c r="B118" s="34" t="s">
        <v>25</v>
      </c>
      <c r="C118" s="118" t="s">
        <v>63</v>
      </c>
      <c r="D118" s="118" t="s">
        <v>41</v>
      </c>
    </row>
    <row r="119" spans="1:4" ht="16.5" thickBot="1" x14ac:dyDescent="0.3">
      <c r="A119" s="29" t="s">
        <v>42</v>
      </c>
      <c r="B119" s="66" t="s">
        <v>26</v>
      </c>
      <c r="C119" s="165">
        <v>9.0999999999999998E-2</v>
      </c>
      <c r="D119" s="68">
        <f>C119*C138</f>
        <v>389.81380498828446</v>
      </c>
    </row>
    <row r="120" spans="1:4" ht="16.5" thickBot="1" x14ac:dyDescent="0.3">
      <c r="A120" s="29" t="s">
        <v>44</v>
      </c>
      <c r="B120" s="66" t="s">
        <v>28</v>
      </c>
      <c r="C120" s="165">
        <v>5.8999999999999997E-2</v>
      </c>
      <c r="D120" s="68">
        <f>C120*(C138+D119)</f>
        <v>275.73543750869101</v>
      </c>
    </row>
    <row r="121" spans="1:4" ht="16.5" thickBot="1" x14ac:dyDescent="0.3">
      <c r="A121" s="29" t="s">
        <v>46</v>
      </c>
      <c r="B121" s="30" t="s">
        <v>27</v>
      </c>
      <c r="C121" s="32"/>
      <c r="D121" s="43">
        <f>(C$17+C$61+D$73+C$103+C$113)*C121</f>
        <v>0</v>
      </c>
    </row>
    <row r="122" spans="1:4" ht="16.5" thickBot="1" x14ac:dyDescent="0.3">
      <c r="A122" s="29"/>
      <c r="B122" s="66" t="s">
        <v>114</v>
      </c>
      <c r="C122" s="67">
        <f>C123+C124</f>
        <v>9.2499999999999999E-2</v>
      </c>
      <c r="D122" s="68">
        <f>C122*(C$138+D$119+D$120)</f>
        <v>457.80261219928133</v>
      </c>
    </row>
    <row r="123" spans="1:4" ht="16.5" thickBot="1" x14ac:dyDescent="0.3">
      <c r="A123" s="29"/>
      <c r="B123" s="30" t="s">
        <v>112</v>
      </c>
      <c r="C123" s="166">
        <v>7.5999999999999998E-2</v>
      </c>
      <c r="D123" s="43">
        <f>C123*(C$138+D$119+D$120)</f>
        <v>376.14052461778789</v>
      </c>
    </row>
    <row r="124" spans="1:4" ht="16.5" thickBot="1" x14ac:dyDescent="0.3">
      <c r="A124" s="29"/>
      <c r="B124" s="30" t="s">
        <v>113</v>
      </c>
      <c r="C124" s="166">
        <v>1.6500000000000001E-2</v>
      </c>
      <c r="D124" s="43">
        <f>C124*(C$138+D$119+D$120)</f>
        <v>81.662087581493438</v>
      </c>
    </row>
    <row r="125" spans="1:4" ht="16.5" thickBot="1" x14ac:dyDescent="0.3">
      <c r="A125" s="29"/>
      <c r="B125" s="66" t="s">
        <v>115</v>
      </c>
      <c r="C125" s="67">
        <v>0</v>
      </c>
      <c r="D125" s="68">
        <f>C125*(C$138+D$119+D$120)</f>
        <v>0</v>
      </c>
    </row>
    <row r="126" spans="1:4" ht="16.5" thickBot="1" x14ac:dyDescent="0.3">
      <c r="A126" s="29"/>
      <c r="B126" s="66" t="s">
        <v>116</v>
      </c>
      <c r="C126" s="166">
        <v>0.03</v>
      </c>
      <c r="D126" s="68">
        <f>C126*(C$138+D$119+D$120)</f>
        <v>148.47652287544258</v>
      </c>
    </row>
    <row r="127" spans="1:4" ht="16.5" thickBot="1" x14ac:dyDescent="0.3">
      <c r="A127" s="187" t="s">
        <v>70</v>
      </c>
      <c r="B127" s="188"/>
      <c r="C127" s="67">
        <f>C119+C120+C122+C125+C126</f>
        <v>0.27249999999999996</v>
      </c>
      <c r="D127" s="68">
        <f>D119+D120+D122+D125+D126</f>
        <v>1271.8283775716995</v>
      </c>
    </row>
    <row r="130" spans="1:3" x14ac:dyDescent="0.25">
      <c r="A130" s="185" t="s">
        <v>102</v>
      </c>
      <c r="B130" s="185"/>
      <c r="C130" s="185"/>
    </row>
    <row r="131" spans="1:3" ht="16.5" thickBot="1" x14ac:dyDescent="0.3"/>
    <row r="132" spans="1:3" ht="16.5" thickBot="1" x14ac:dyDescent="0.3">
      <c r="A132" s="27"/>
      <c r="B132" s="118" t="s">
        <v>103</v>
      </c>
      <c r="C132" s="118" t="s">
        <v>41</v>
      </c>
    </row>
    <row r="133" spans="1:3" ht="16.5" thickBot="1" x14ac:dyDescent="0.3">
      <c r="A133" s="36" t="s">
        <v>42</v>
      </c>
      <c r="B133" s="30" t="s">
        <v>39</v>
      </c>
      <c r="C133" s="65">
        <f>C17</f>
        <v>1239.8</v>
      </c>
    </row>
    <row r="134" spans="1:3" ht="16.5" thickBot="1" x14ac:dyDescent="0.3">
      <c r="A134" s="36" t="s">
        <v>44</v>
      </c>
      <c r="B134" s="30" t="s">
        <v>54</v>
      </c>
      <c r="C134" s="65">
        <f>C61</f>
        <v>2518.8491861066668</v>
      </c>
    </row>
    <row r="135" spans="1:3" ht="16.5" thickBot="1" x14ac:dyDescent="0.3">
      <c r="A135" s="36" t="s">
        <v>46</v>
      </c>
      <c r="B135" s="30" t="s">
        <v>77</v>
      </c>
      <c r="C135" s="65">
        <f>D73</f>
        <v>93.277592799999994</v>
      </c>
    </row>
    <row r="136" spans="1:3" ht="16.5" thickBot="1" x14ac:dyDescent="0.3">
      <c r="A136" s="36" t="s">
        <v>48</v>
      </c>
      <c r="B136" s="30" t="s">
        <v>85</v>
      </c>
      <c r="C136" s="65">
        <f>D88</f>
        <v>121.62438</v>
      </c>
    </row>
    <row r="137" spans="1:3" ht="16.5" thickBot="1" x14ac:dyDescent="0.3">
      <c r="A137" s="36" t="s">
        <v>49</v>
      </c>
      <c r="B137" s="30" t="s">
        <v>97</v>
      </c>
      <c r="C137" s="65">
        <f>C113</f>
        <v>310.11702777777782</v>
      </c>
    </row>
    <row r="138" spans="1:3" ht="16.5" customHeight="1" thickBot="1" x14ac:dyDescent="0.3">
      <c r="A138" s="183" t="s">
        <v>104</v>
      </c>
      <c r="B138" s="184"/>
      <c r="C138" s="65">
        <f>SUM(C133:C137)</f>
        <v>4283.6681866844447</v>
      </c>
    </row>
    <row r="139" spans="1:3" ht="16.5" thickBot="1" x14ac:dyDescent="0.3">
      <c r="A139" s="36" t="s">
        <v>51</v>
      </c>
      <c r="B139" s="30" t="s">
        <v>105</v>
      </c>
      <c r="C139" s="65">
        <f>D127</f>
        <v>1271.8283775716995</v>
      </c>
    </row>
    <row r="140" spans="1:3" ht="16.5" customHeight="1" thickBot="1" x14ac:dyDescent="0.3">
      <c r="A140" s="183" t="s">
        <v>106</v>
      </c>
      <c r="B140" s="184"/>
      <c r="C140" s="69">
        <f>C138+C139</f>
        <v>5555.4965642561438</v>
      </c>
    </row>
    <row r="142" spans="1:3" x14ac:dyDescent="0.25">
      <c r="B142" s="167" t="s">
        <v>594</v>
      </c>
      <c r="C142" s="168">
        <f>C140*12</f>
        <v>66665.958771073725</v>
      </c>
    </row>
  </sheetData>
  <mergeCells count="34">
    <mergeCell ref="A127:B127"/>
    <mergeCell ref="A130:C130"/>
    <mergeCell ref="A138:B138"/>
    <mergeCell ref="A140:B140"/>
    <mergeCell ref="A95:B95"/>
    <mergeCell ref="A98:C98"/>
    <mergeCell ref="A103:B103"/>
    <mergeCell ref="A106:C106"/>
    <mergeCell ref="A113:B113"/>
    <mergeCell ref="A116:C116"/>
    <mergeCell ref="A91:C91"/>
    <mergeCell ref="A30:D30"/>
    <mergeCell ref="A41:B41"/>
    <mergeCell ref="A44:C44"/>
    <mergeCell ref="A52:B52"/>
    <mergeCell ref="A55:C55"/>
    <mergeCell ref="A61:B61"/>
    <mergeCell ref="A64:C64"/>
    <mergeCell ref="A73:B73"/>
    <mergeCell ref="A76:C76"/>
    <mergeCell ref="A79:C79"/>
    <mergeCell ref="A88:B88"/>
    <mergeCell ref="A27:B27"/>
    <mergeCell ref="A1:D1"/>
    <mergeCell ref="A2:D2"/>
    <mergeCell ref="A3:D3"/>
    <mergeCell ref="B4:C4"/>
    <mergeCell ref="B5:C5"/>
    <mergeCell ref="B6:C6"/>
    <mergeCell ref="A7:C7"/>
    <mergeCell ref="A17:B17"/>
    <mergeCell ref="A18:C19"/>
    <mergeCell ref="A20:C20"/>
    <mergeCell ref="A22:C22"/>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
  <sheetViews>
    <sheetView showGridLines="0" topLeftCell="A7" zoomScaleNormal="100" workbookViewId="0">
      <selection activeCell="C127" sqref="C127"/>
    </sheetView>
  </sheetViews>
  <sheetFormatPr defaultRowHeight="15.75" x14ac:dyDescent="0.25"/>
  <cols>
    <col min="1" max="1" width="16.28515625" style="35" customWidth="1"/>
    <col min="2" max="2" width="73.28515625" style="35" customWidth="1"/>
    <col min="3" max="3" width="18" style="35" customWidth="1"/>
    <col min="4" max="4" width="14.28515625" style="35" customWidth="1"/>
    <col min="5" max="5" width="12.7109375" style="35" customWidth="1"/>
    <col min="6" max="6" width="12" style="35" customWidth="1"/>
    <col min="7" max="7" width="15.140625" style="35" customWidth="1"/>
    <col min="8" max="16384" width="9.140625" style="35"/>
  </cols>
  <sheetData>
    <row r="1" spans="1:4" ht="23.25" x14ac:dyDescent="0.35">
      <c r="A1" s="193" t="s">
        <v>107</v>
      </c>
      <c r="B1" s="193"/>
      <c r="C1" s="193"/>
      <c r="D1" s="193"/>
    </row>
    <row r="2" spans="1:4" ht="23.25" x14ac:dyDescent="0.35">
      <c r="A2" s="193" t="s">
        <v>108</v>
      </c>
      <c r="B2" s="193"/>
      <c r="C2" s="193"/>
      <c r="D2" s="193"/>
    </row>
    <row r="3" spans="1:4" ht="27.75" customHeight="1" x14ac:dyDescent="0.25">
      <c r="A3" s="195" t="s">
        <v>109</v>
      </c>
      <c r="B3" s="195"/>
      <c r="C3" s="195"/>
      <c r="D3" s="195"/>
    </row>
    <row r="4" spans="1:4" x14ac:dyDescent="0.25">
      <c r="A4" s="55" t="s">
        <v>117</v>
      </c>
      <c r="B4" s="190" t="s">
        <v>256</v>
      </c>
      <c r="C4" s="190"/>
    </row>
    <row r="5" spans="1:4" x14ac:dyDescent="0.25">
      <c r="A5" s="55" t="s">
        <v>118</v>
      </c>
      <c r="B5" s="190" t="s">
        <v>280</v>
      </c>
      <c r="C5" s="190"/>
    </row>
    <row r="6" spans="1:4" x14ac:dyDescent="0.25">
      <c r="A6" s="55" t="s">
        <v>119</v>
      </c>
      <c r="B6" s="190" t="s">
        <v>278</v>
      </c>
      <c r="C6" s="190"/>
    </row>
    <row r="7" spans="1:4" x14ac:dyDescent="0.25">
      <c r="A7" s="194" t="s">
        <v>39</v>
      </c>
      <c r="B7" s="194"/>
      <c r="C7" s="194"/>
    </row>
    <row r="8" spans="1:4" ht="16.5" thickBot="1" x14ac:dyDescent="0.3"/>
    <row r="9" spans="1:4" ht="16.5" thickBot="1" x14ac:dyDescent="0.3">
      <c r="A9" s="27">
        <v>1</v>
      </c>
      <c r="B9" s="118" t="s">
        <v>40</v>
      </c>
      <c r="C9" s="118" t="s">
        <v>41</v>
      </c>
    </row>
    <row r="10" spans="1:4" ht="16.5" thickBot="1" x14ac:dyDescent="0.3">
      <c r="A10" s="29" t="s">
        <v>42</v>
      </c>
      <c r="B10" s="30" t="s">
        <v>43</v>
      </c>
      <c r="C10" s="43">
        <v>1239.8</v>
      </c>
    </row>
    <row r="11" spans="1:4" ht="16.5" thickBot="1" x14ac:dyDescent="0.3">
      <c r="A11" s="29" t="s">
        <v>44</v>
      </c>
      <c r="B11" s="30" t="s">
        <v>45</v>
      </c>
      <c r="C11" s="43"/>
    </row>
    <row r="12" spans="1:4" ht="16.5" thickBot="1" x14ac:dyDescent="0.3">
      <c r="A12" s="29" t="s">
        <v>46</v>
      </c>
      <c r="B12" s="30" t="s">
        <v>47</v>
      </c>
      <c r="C12" s="43"/>
    </row>
    <row r="13" spans="1:4" ht="16.5" thickBot="1" x14ac:dyDescent="0.3">
      <c r="A13" s="29" t="s">
        <v>48</v>
      </c>
      <c r="B13" s="30" t="s">
        <v>4</v>
      </c>
      <c r="C13" s="43"/>
    </row>
    <row r="14" spans="1:4" ht="16.5" thickBot="1" x14ac:dyDescent="0.3">
      <c r="A14" s="29" t="s">
        <v>49</v>
      </c>
      <c r="B14" s="30" t="s">
        <v>50</v>
      </c>
      <c r="C14" s="81"/>
    </row>
    <row r="15" spans="1:4" ht="16.5" thickBot="1" x14ac:dyDescent="0.3">
      <c r="A15" s="29" t="s">
        <v>51</v>
      </c>
      <c r="B15" s="58"/>
      <c r="C15" s="55"/>
    </row>
    <row r="16" spans="1:4" ht="16.5" thickBot="1" x14ac:dyDescent="0.3">
      <c r="A16" s="29" t="s">
        <v>52</v>
      </c>
      <c r="B16" s="58" t="s">
        <v>628</v>
      </c>
      <c r="C16" s="82">
        <f>0.3*C10</f>
        <v>371.94</v>
      </c>
    </row>
    <row r="17" spans="1:4" ht="16.5" thickBot="1" x14ac:dyDescent="0.3">
      <c r="A17" s="183" t="s">
        <v>5</v>
      </c>
      <c r="B17" s="184"/>
      <c r="C17" s="62">
        <f>SUM(C10:C16)</f>
        <v>1611.74</v>
      </c>
    </row>
    <row r="18" spans="1:4" x14ac:dyDescent="0.25">
      <c r="A18" s="191" t="s">
        <v>629</v>
      </c>
      <c r="B18" s="191"/>
      <c r="C18" s="191"/>
    </row>
    <row r="19" spans="1:4" ht="18.75" customHeight="1" x14ac:dyDescent="0.25">
      <c r="A19" s="192"/>
      <c r="B19" s="192"/>
      <c r="C19" s="192"/>
    </row>
    <row r="20" spans="1:4" x14ac:dyDescent="0.25">
      <c r="A20" s="185" t="s">
        <v>54</v>
      </c>
      <c r="B20" s="185"/>
      <c r="C20" s="185"/>
    </row>
    <row r="21" spans="1:4" x14ac:dyDescent="0.25">
      <c r="A21" s="26"/>
    </row>
    <row r="22" spans="1:4" x14ac:dyDescent="0.25">
      <c r="A22" s="186" t="s">
        <v>55</v>
      </c>
      <c r="B22" s="186"/>
      <c r="C22" s="186"/>
    </row>
    <row r="23" spans="1:4" ht="16.5" thickBot="1" x14ac:dyDescent="0.3"/>
    <row r="24" spans="1:4" ht="16.5" thickBot="1" x14ac:dyDescent="0.3">
      <c r="A24" s="27" t="s">
        <v>56</v>
      </c>
      <c r="B24" s="118" t="s">
        <v>57</v>
      </c>
      <c r="C24" s="118" t="s">
        <v>63</v>
      </c>
      <c r="D24" s="118" t="s">
        <v>41</v>
      </c>
    </row>
    <row r="25" spans="1:4" ht="16.5" thickBot="1" x14ac:dyDescent="0.3">
      <c r="A25" s="29" t="s">
        <v>42</v>
      </c>
      <c r="B25" s="58" t="s">
        <v>58</v>
      </c>
      <c r="C25" s="54">
        <f>1/12</f>
        <v>8.3333333333333329E-2</v>
      </c>
      <c r="D25" s="59">
        <f>C$17*C25</f>
        <v>134.31166666666667</v>
      </c>
    </row>
    <row r="26" spans="1:4" ht="16.5" thickBot="1" x14ac:dyDescent="0.3">
      <c r="A26" s="29" t="s">
        <v>44</v>
      </c>
      <c r="B26" s="56" t="s">
        <v>59</v>
      </c>
      <c r="C26" s="60">
        <v>0.1111</v>
      </c>
      <c r="D26" s="61">
        <f>C$17*C26</f>
        <v>179.064314</v>
      </c>
    </row>
    <row r="27" spans="1:4" ht="16.5" thickBot="1" x14ac:dyDescent="0.3">
      <c r="A27" s="183" t="s">
        <v>5</v>
      </c>
      <c r="B27" s="184"/>
      <c r="C27" s="63">
        <f>SUM(C25:C26)</f>
        <v>0.19443333333333335</v>
      </c>
      <c r="D27" s="64">
        <f>C$17*C27</f>
        <v>313.37598066666669</v>
      </c>
    </row>
    <row r="30" spans="1:4" ht="32.25" customHeight="1" x14ac:dyDescent="0.25">
      <c r="A30" s="189" t="s">
        <v>60</v>
      </c>
      <c r="B30" s="189"/>
      <c r="C30" s="189"/>
      <c r="D30" s="189"/>
    </row>
    <row r="31" spans="1:4" ht="16.5" thickBot="1" x14ac:dyDescent="0.3"/>
    <row r="32" spans="1:4" ht="16.5" thickBot="1" x14ac:dyDescent="0.3">
      <c r="A32" s="27" t="s">
        <v>61</v>
      </c>
      <c r="B32" s="118" t="s">
        <v>62</v>
      </c>
      <c r="C32" s="118" t="s">
        <v>63</v>
      </c>
      <c r="D32" s="118" t="s">
        <v>41</v>
      </c>
    </row>
    <row r="33" spans="1:4" ht="16.5" thickBot="1" x14ac:dyDescent="0.3">
      <c r="A33" s="29" t="s">
        <v>42</v>
      </c>
      <c r="B33" s="30" t="s">
        <v>64</v>
      </c>
      <c r="C33" s="32">
        <v>0.2</v>
      </c>
      <c r="D33" s="61">
        <f t="shared" ref="D33:D41" si="0">(D$27+C$17)*C33</f>
        <v>385.02319613333339</v>
      </c>
    </row>
    <row r="34" spans="1:4" ht="16.5" thickBot="1" x14ac:dyDescent="0.3">
      <c r="A34" s="29" t="s">
        <v>44</v>
      </c>
      <c r="B34" s="30" t="s">
        <v>65</v>
      </c>
      <c r="C34" s="32">
        <v>2.5000000000000001E-2</v>
      </c>
      <c r="D34" s="61">
        <f t="shared" si="0"/>
        <v>48.127899516666673</v>
      </c>
    </row>
    <row r="35" spans="1:4" ht="16.5" thickBot="1" x14ac:dyDescent="0.3">
      <c r="A35" s="29" t="s">
        <v>46</v>
      </c>
      <c r="B35" s="30" t="s">
        <v>66</v>
      </c>
      <c r="C35" s="166">
        <v>0.01</v>
      </c>
      <c r="D35" s="61">
        <f t="shared" si="0"/>
        <v>19.251159806666667</v>
      </c>
    </row>
    <row r="36" spans="1:4" ht="16.5" thickBot="1" x14ac:dyDescent="0.3">
      <c r="A36" s="29" t="s">
        <v>48</v>
      </c>
      <c r="B36" s="30" t="s">
        <v>67</v>
      </c>
      <c r="C36" s="32">
        <v>1.4999999999999999E-2</v>
      </c>
      <c r="D36" s="61">
        <f t="shared" si="0"/>
        <v>28.876739709999999</v>
      </c>
    </row>
    <row r="37" spans="1:4" ht="16.5" thickBot="1" x14ac:dyDescent="0.3">
      <c r="A37" s="29" t="s">
        <v>49</v>
      </c>
      <c r="B37" s="30" t="s">
        <v>68</v>
      </c>
      <c r="C37" s="32">
        <v>0.01</v>
      </c>
      <c r="D37" s="61">
        <f t="shared" si="0"/>
        <v>19.251159806666667</v>
      </c>
    </row>
    <row r="38" spans="1:4" ht="16.5" thickBot="1" x14ac:dyDescent="0.3">
      <c r="A38" s="29" t="s">
        <v>51</v>
      </c>
      <c r="B38" s="30" t="s">
        <v>7</v>
      </c>
      <c r="C38" s="32">
        <v>6.0000000000000001E-3</v>
      </c>
      <c r="D38" s="61">
        <f t="shared" si="0"/>
        <v>11.550695884</v>
      </c>
    </row>
    <row r="39" spans="1:4" ht="16.5" thickBot="1" x14ac:dyDescent="0.3">
      <c r="A39" s="29" t="s">
        <v>52</v>
      </c>
      <c r="B39" s="30" t="s">
        <v>8</v>
      </c>
      <c r="C39" s="32">
        <v>2E-3</v>
      </c>
      <c r="D39" s="61">
        <f t="shared" si="0"/>
        <v>3.8502319613333333</v>
      </c>
    </row>
    <row r="40" spans="1:4" ht="16.5" thickBot="1" x14ac:dyDescent="0.3">
      <c r="A40" s="29" t="s">
        <v>69</v>
      </c>
      <c r="B40" s="30" t="s">
        <v>9</v>
      </c>
      <c r="C40" s="32">
        <v>0.08</v>
      </c>
      <c r="D40" s="61">
        <f t="shared" si="0"/>
        <v>154.00927845333334</v>
      </c>
    </row>
    <row r="41" spans="1:4" ht="16.5" thickBot="1" x14ac:dyDescent="0.3">
      <c r="A41" s="183" t="s">
        <v>70</v>
      </c>
      <c r="B41" s="184"/>
      <c r="C41" s="32">
        <f>SUM(C33:C40)</f>
        <v>0.34800000000000003</v>
      </c>
      <c r="D41" s="61">
        <f t="shared" si="0"/>
        <v>669.94036127200002</v>
      </c>
    </row>
    <row r="44" spans="1:4" x14ac:dyDescent="0.25">
      <c r="A44" s="186" t="s">
        <v>71</v>
      </c>
      <c r="B44" s="186"/>
      <c r="C44" s="186"/>
    </row>
    <row r="45" spans="1:4" ht="16.5" thickBot="1" x14ac:dyDescent="0.3"/>
    <row r="46" spans="1:4" ht="16.5" thickBot="1" x14ac:dyDescent="0.3">
      <c r="A46" s="27" t="s">
        <v>72</v>
      </c>
      <c r="B46" s="118" t="s">
        <v>73</v>
      </c>
      <c r="C46" s="118" t="s">
        <v>41</v>
      </c>
    </row>
    <row r="47" spans="1:4" ht="16.5" thickBot="1" x14ac:dyDescent="0.3">
      <c r="A47" s="29" t="s">
        <v>42</v>
      </c>
      <c r="B47" s="30" t="s">
        <v>74</v>
      </c>
      <c r="C47" s="43">
        <f>'Planilha de Apoio'!D21</f>
        <v>154.41200000000003</v>
      </c>
    </row>
    <row r="48" spans="1:4" ht="16.5" thickBot="1" x14ac:dyDescent="0.3">
      <c r="A48" s="29" t="s">
        <v>44</v>
      </c>
      <c r="B48" s="30" t="s">
        <v>120</v>
      </c>
      <c r="C48" s="43">
        <f>'Planilha de Apoio'!D25</f>
        <v>389.18</v>
      </c>
    </row>
    <row r="49" spans="1:3" ht="16.5" thickBot="1" x14ac:dyDescent="0.3">
      <c r="A49" s="29" t="s">
        <v>46</v>
      </c>
      <c r="B49" s="30" t="s">
        <v>131</v>
      </c>
      <c r="C49" s="43">
        <v>0</v>
      </c>
    </row>
    <row r="50" spans="1:3" ht="16.5" thickBot="1" x14ac:dyDescent="0.3">
      <c r="A50" s="71" t="s">
        <v>48</v>
      </c>
      <c r="B50" s="70" t="s">
        <v>121</v>
      </c>
      <c r="C50" s="43">
        <f>'Planilha de Apoio'!D29</f>
        <v>129.72999999999999</v>
      </c>
    </row>
    <row r="51" spans="1:3" ht="21" customHeight="1" thickBot="1" x14ac:dyDescent="0.3">
      <c r="A51" s="71" t="s">
        <v>49</v>
      </c>
      <c r="B51" s="57" t="s">
        <v>269</v>
      </c>
      <c r="C51" s="43">
        <f>'Planilha de Apoio'!E6</f>
        <v>777.95</v>
      </c>
    </row>
    <row r="52" spans="1:3" ht="16.5" thickBot="1" x14ac:dyDescent="0.3">
      <c r="A52" s="196" t="s">
        <v>5</v>
      </c>
      <c r="B52" s="197"/>
      <c r="C52" s="43">
        <f>SUM(C47:C51)</f>
        <v>1451.2720000000002</v>
      </c>
    </row>
    <row r="55" spans="1:3" x14ac:dyDescent="0.25">
      <c r="A55" s="186" t="s">
        <v>75</v>
      </c>
      <c r="B55" s="186"/>
      <c r="C55" s="186"/>
    </row>
    <row r="56" spans="1:3" ht="16.5" thickBot="1" x14ac:dyDescent="0.3"/>
    <row r="57" spans="1:3" ht="16.5" thickBot="1" x14ac:dyDescent="0.3">
      <c r="A57" s="27">
        <v>2</v>
      </c>
      <c r="B57" s="118" t="s">
        <v>76</v>
      </c>
      <c r="C57" s="118" t="s">
        <v>41</v>
      </c>
    </row>
    <row r="58" spans="1:3" ht="16.5" thickBot="1" x14ac:dyDescent="0.3">
      <c r="A58" s="29" t="s">
        <v>56</v>
      </c>
      <c r="B58" s="30" t="s">
        <v>57</v>
      </c>
      <c r="C58" s="43">
        <f>D27</f>
        <v>313.37598066666669</v>
      </c>
    </row>
    <row r="59" spans="1:3" ht="16.5" thickBot="1" x14ac:dyDescent="0.3">
      <c r="A59" s="29" t="s">
        <v>61</v>
      </c>
      <c r="B59" s="30" t="s">
        <v>62</v>
      </c>
      <c r="C59" s="43">
        <f>D41</f>
        <v>669.94036127200002</v>
      </c>
    </row>
    <row r="60" spans="1:3" ht="16.5" thickBot="1" x14ac:dyDescent="0.3">
      <c r="A60" s="29" t="s">
        <v>72</v>
      </c>
      <c r="B60" s="30" t="s">
        <v>73</v>
      </c>
      <c r="C60" s="43">
        <f>C52</f>
        <v>1451.2720000000002</v>
      </c>
    </row>
    <row r="61" spans="1:3" ht="16.5" thickBot="1" x14ac:dyDescent="0.3">
      <c r="A61" s="183" t="s">
        <v>5</v>
      </c>
      <c r="B61" s="184"/>
      <c r="C61" s="43">
        <f>SUM(C58:C60)</f>
        <v>2434.5883419386669</v>
      </c>
    </row>
    <row r="62" spans="1:3" x14ac:dyDescent="0.25">
      <c r="A62" s="6"/>
    </row>
    <row r="64" spans="1:3" x14ac:dyDescent="0.25">
      <c r="A64" s="185" t="s">
        <v>77</v>
      </c>
      <c r="B64" s="185"/>
      <c r="C64" s="185"/>
    </row>
    <row r="65" spans="1:4" ht="16.5" thickBot="1" x14ac:dyDescent="0.3"/>
    <row r="66" spans="1:4" ht="16.5" thickBot="1" x14ac:dyDescent="0.3">
      <c r="A66" s="27">
        <v>3</v>
      </c>
      <c r="B66" s="118" t="s">
        <v>78</v>
      </c>
      <c r="C66" s="118" t="s">
        <v>63</v>
      </c>
      <c r="D66" s="118" t="s">
        <v>41</v>
      </c>
    </row>
    <row r="67" spans="1:4" ht="16.5" thickBot="1" x14ac:dyDescent="0.3">
      <c r="A67" s="29" t="s">
        <v>42</v>
      </c>
      <c r="B67" s="33" t="s">
        <v>79</v>
      </c>
      <c r="C67" s="51">
        <v>4.1999999999999997E-3</v>
      </c>
      <c r="D67" s="43">
        <f>(C$17)*C67</f>
        <v>6.7693079999999997</v>
      </c>
    </row>
    <row r="68" spans="1:4" ht="16.5" thickBot="1" x14ac:dyDescent="0.3">
      <c r="A68" s="29" t="s">
        <v>44</v>
      </c>
      <c r="B68" s="49" t="s">
        <v>80</v>
      </c>
      <c r="C68" s="52">
        <f>C67*8%</f>
        <v>3.3599999999999998E-4</v>
      </c>
      <c r="D68" s="43">
        <f t="shared" ref="D68:D73" si="1">(C$17)*C68</f>
        <v>0.54154464000000002</v>
      </c>
    </row>
    <row r="69" spans="1:4" ht="16.5" thickBot="1" x14ac:dyDescent="0.3">
      <c r="A69" s="29" t="s">
        <v>46</v>
      </c>
      <c r="B69" s="33" t="s">
        <v>81</v>
      </c>
      <c r="C69" s="50">
        <v>4.3499999999999997E-2</v>
      </c>
      <c r="D69" s="43">
        <f t="shared" si="1"/>
        <v>70.110689999999991</v>
      </c>
    </row>
    <row r="70" spans="1:4" ht="16.5" thickBot="1" x14ac:dyDescent="0.3">
      <c r="A70" s="29" t="s">
        <v>48</v>
      </c>
      <c r="B70" s="33" t="s">
        <v>82</v>
      </c>
      <c r="C70" s="53">
        <v>1.9400000000000001E-2</v>
      </c>
      <c r="D70" s="43">
        <f t="shared" si="1"/>
        <v>31.267756000000002</v>
      </c>
    </row>
    <row r="71" spans="1:4" ht="16.5" thickBot="1" x14ac:dyDescent="0.3">
      <c r="A71" s="29" t="s">
        <v>49</v>
      </c>
      <c r="B71" s="33" t="s">
        <v>83</v>
      </c>
      <c r="C71" s="50">
        <v>7.0000000000000001E-3</v>
      </c>
      <c r="D71" s="43">
        <f t="shared" si="1"/>
        <v>11.28218</v>
      </c>
    </row>
    <row r="72" spans="1:4" ht="16.5" thickBot="1" x14ac:dyDescent="0.3">
      <c r="A72" s="29" t="s">
        <v>51</v>
      </c>
      <c r="B72" s="33" t="s">
        <v>84</v>
      </c>
      <c r="C72" s="50">
        <v>8.0000000000000004E-4</v>
      </c>
      <c r="D72" s="43">
        <f t="shared" si="1"/>
        <v>1.2893920000000001</v>
      </c>
    </row>
    <row r="73" spans="1:4" ht="16.5" thickBot="1" x14ac:dyDescent="0.3">
      <c r="A73" s="183" t="s">
        <v>5</v>
      </c>
      <c r="B73" s="184"/>
      <c r="C73" s="50">
        <f>SUM(C67:C72)</f>
        <v>7.5235999999999997E-2</v>
      </c>
      <c r="D73" s="43">
        <f t="shared" si="1"/>
        <v>121.26087063999999</v>
      </c>
    </row>
    <row r="76" spans="1:4" x14ac:dyDescent="0.25">
      <c r="A76" s="185" t="s">
        <v>85</v>
      </c>
      <c r="B76" s="185"/>
      <c r="C76" s="185"/>
    </row>
    <row r="79" spans="1:4" x14ac:dyDescent="0.25">
      <c r="A79" s="186" t="s">
        <v>86</v>
      </c>
      <c r="B79" s="186"/>
      <c r="C79" s="186"/>
    </row>
    <row r="80" spans="1:4" ht="16.5" thickBot="1" x14ac:dyDescent="0.3">
      <c r="A80" s="26"/>
    </row>
    <row r="81" spans="1:4" ht="16.5" thickBot="1" x14ac:dyDescent="0.3">
      <c r="A81" s="27" t="s">
        <v>87</v>
      </c>
      <c r="B81" s="118" t="s">
        <v>88</v>
      </c>
      <c r="C81" s="118" t="s">
        <v>63</v>
      </c>
      <c r="D81" s="118" t="s">
        <v>41</v>
      </c>
    </row>
    <row r="82" spans="1:4" ht="16.5" thickBot="1" x14ac:dyDescent="0.3">
      <c r="A82" s="29" t="s">
        <v>42</v>
      </c>
      <c r="B82" s="30" t="s">
        <v>6</v>
      </c>
      <c r="C82" s="50">
        <v>8.3299999999999999E-2</v>
      </c>
      <c r="D82" s="43">
        <f>(C$17)*C82</f>
        <v>134.25794199999999</v>
      </c>
    </row>
    <row r="83" spans="1:4" ht="16.5" thickBot="1" x14ac:dyDescent="0.3">
      <c r="A83" s="29" t="s">
        <v>44</v>
      </c>
      <c r="B83" s="30" t="s">
        <v>88</v>
      </c>
      <c r="C83" s="50">
        <v>8.2000000000000007E-3</v>
      </c>
      <c r="D83" s="43">
        <f t="shared" ref="D83:D88" si="2">(C$17)*C83</f>
        <v>13.216268000000001</v>
      </c>
    </row>
    <row r="84" spans="1:4" ht="16.5" thickBot="1" x14ac:dyDescent="0.3">
      <c r="A84" s="29" t="s">
        <v>46</v>
      </c>
      <c r="B84" s="30" t="s">
        <v>89</v>
      </c>
      <c r="C84" s="50">
        <v>2.0000000000000001E-4</v>
      </c>
      <c r="D84" s="43">
        <f t="shared" si="2"/>
        <v>0.32234800000000002</v>
      </c>
    </row>
    <row r="85" spans="1:4" ht="16.5" thickBot="1" x14ac:dyDescent="0.3">
      <c r="A85" s="29" t="s">
        <v>48</v>
      </c>
      <c r="B85" s="30" t="s">
        <v>90</v>
      </c>
      <c r="C85" s="50">
        <v>2.9999999999999997E-4</v>
      </c>
      <c r="D85" s="43">
        <f t="shared" si="2"/>
        <v>0.48352199999999995</v>
      </c>
    </row>
    <row r="86" spans="1:4" ht="16.5" thickBot="1" x14ac:dyDescent="0.3">
      <c r="A86" s="29" t="s">
        <v>49</v>
      </c>
      <c r="B86" s="30" t="s">
        <v>91</v>
      </c>
      <c r="C86" s="50">
        <v>6.1000000000000004E-3</v>
      </c>
      <c r="D86" s="43">
        <f t="shared" si="2"/>
        <v>9.8316140000000001</v>
      </c>
    </row>
    <row r="87" spans="1:4" ht="16.5" thickBot="1" x14ac:dyDescent="0.3">
      <c r="A87" s="29" t="s">
        <v>51</v>
      </c>
      <c r="B87" s="30" t="s">
        <v>53</v>
      </c>
      <c r="C87" s="50">
        <v>0</v>
      </c>
      <c r="D87" s="43">
        <f t="shared" si="2"/>
        <v>0</v>
      </c>
    </row>
    <row r="88" spans="1:4" ht="16.5" thickBot="1" x14ac:dyDescent="0.3">
      <c r="A88" s="183" t="s">
        <v>70</v>
      </c>
      <c r="B88" s="184"/>
      <c r="C88" s="50">
        <v>9.8100000000000007E-2</v>
      </c>
      <c r="D88" s="43">
        <f t="shared" si="2"/>
        <v>158.111694</v>
      </c>
    </row>
    <row r="91" spans="1:4" x14ac:dyDescent="0.25">
      <c r="A91" s="186" t="s">
        <v>92</v>
      </c>
      <c r="B91" s="186"/>
      <c r="C91" s="186"/>
    </row>
    <row r="92" spans="1:4" ht="16.5" thickBot="1" x14ac:dyDescent="0.3">
      <c r="A92" s="26"/>
    </row>
    <row r="93" spans="1:4" ht="16.5" thickBot="1" x14ac:dyDescent="0.3">
      <c r="A93" s="27" t="s">
        <v>93</v>
      </c>
      <c r="B93" s="118" t="s">
        <v>94</v>
      </c>
      <c r="C93" s="118" t="s">
        <v>41</v>
      </c>
    </row>
    <row r="94" spans="1:4" ht="16.5" thickBot="1" x14ac:dyDescent="0.3">
      <c r="A94" s="29" t="s">
        <v>42</v>
      </c>
      <c r="B94" s="30" t="s">
        <v>110</v>
      </c>
      <c r="C94" s="42"/>
    </row>
    <row r="95" spans="1:4" ht="16.5" thickBot="1" x14ac:dyDescent="0.3">
      <c r="A95" s="183" t="s">
        <v>5</v>
      </c>
      <c r="B95" s="184"/>
      <c r="C95" s="42"/>
    </row>
    <row r="98" spans="1:3" x14ac:dyDescent="0.25">
      <c r="A98" s="186" t="s">
        <v>95</v>
      </c>
      <c r="B98" s="186"/>
      <c r="C98" s="186"/>
    </row>
    <row r="99" spans="1:3" ht="16.5" thickBot="1" x14ac:dyDescent="0.3">
      <c r="A99" s="26"/>
    </row>
    <row r="100" spans="1:3" ht="16.5" thickBot="1" x14ac:dyDescent="0.3">
      <c r="A100" s="27">
        <v>4</v>
      </c>
      <c r="B100" s="118" t="s">
        <v>96</v>
      </c>
      <c r="C100" s="118" t="s">
        <v>41</v>
      </c>
    </row>
    <row r="101" spans="1:3" ht="16.5" thickBot="1" x14ac:dyDescent="0.3">
      <c r="A101" s="29" t="s">
        <v>87</v>
      </c>
      <c r="B101" s="30" t="s">
        <v>88</v>
      </c>
      <c r="C101" s="43">
        <f>D88</f>
        <v>158.111694</v>
      </c>
    </row>
    <row r="102" spans="1:3" ht="16.5" thickBot="1" x14ac:dyDescent="0.3">
      <c r="A102" s="29" t="s">
        <v>93</v>
      </c>
      <c r="B102" s="30" t="s">
        <v>94</v>
      </c>
      <c r="C102" s="43">
        <f>C95</f>
        <v>0</v>
      </c>
    </row>
    <row r="103" spans="1:3" ht="16.5" thickBot="1" x14ac:dyDescent="0.3">
      <c r="A103" s="183" t="s">
        <v>5</v>
      </c>
      <c r="B103" s="184"/>
      <c r="C103" s="62">
        <f>C101+C102</f>
        <v>158.111694</v>
      </c>
    </row>
    <row r="106" spans="1:3" x14ac:dyDescent="0.25">
      <c r="A106" s="185" t="s">
        <v>97</v>
      </c>
      <c r="B106" s="185"/>
      <c r="C106" s="185"/>
    </row>
    <row r="107" spans="1:3" ht="16.5" thickBot="1" x14ac:dyDescent="0.3"/>
    <row r="108" spans="1:3" ht="16.5" thickBot="1" x14ac:dyDescent="0.3">
      <c r="A108" s="27">
        <v>5</v>
      </c>
      <c r="B108" s="34" t="s">
        <v>24</v>
      </c>
      <c r="C108" s="118" t="s">
        <v>41</v>
      </c>
    </row>
    <row r="109" spans="1:3" ht="16.5" thickBot="1" x14ac:dyDescent="0.3">
      <c r="A109" s="29" t="s">
        <v>42</v>
      </c>
      <c r="B109" s="30" t="s">
        <v>98</v>
      </c>
      <c r="C109" s="43">
        <f>'Planilha de Apoio'!C42</f>
        <v>86.948888888888902</v>
      </c>
    </row>
    <row r="110" spans="1:3" ht="16.5" thickBot="1" x14ac:dyDescent="0.3">
      <c r="A110" s="29" t="s">
        <v>44</v>
      </c>
      <c r="B110" s="30" t="s">
        <v>588</v>
      </c>
      <c r="C110" s="43">
        <f>'Planilha de Apoio'!G158</f>
        <v>171.23305555555555</v>
      </c>
    </row>
    <row r="111" spans="1:3" ht="16.5" thickBot="1" x14ac:dyDescent="0.3">
      <c r="A111" s="29" t="s">
        <v>46</v>
      </c>
      <c r="B111" s="30" t="s">
        <v>100</v>
      </c>
      <c r="C111" s="43">
        <f>'Planilha de Apoio'!G165</f>
        <v>51.935083333333324</v>
      </c>
    </row>
    <row r="112" spans="1:3" ht="16.5" thickBot="1" x14ac:dyDescent="0.3">
      <c r="A112" s="29" t="s">
        <v>48</v>
      </c>
      <c r="B112" s="30" t="s">
        <v>198</v>
      </c>
      <c r="C112" s="43">
        <v>0</v>
      </c>
    </row>
    <row r="113" spans="1:4" ht="16.5" thickBot="1" x14ac:dyDescent="0.3">
      <c r="A113" s="183" t="s">
        <v>70</v>
      </c>
      <c r="B113" s="184"/>
      <c r="C113" s="43">
        <f>SUM(C109:C112)</f>
        <v>310.11702777777782</v>
      </c>
    </row>
    <row r="116" spans="1:4" x14ac:dyDescent="0.25">
      <c r="A116" s="185" t="s">
        <v>101</v>
      </c>
      <c r="B116" s="185"/>
      <c r="C116" s="185"/>
    </row>
    <row r="117" spans="1:4" ht="16.5" thickBot="1" x14ac:dyDescent="0.3"/>
    <row r="118" spans="1:4" ht="16.5" thickBot="1" x14ac:dyDescent="0.3">
      <c r="A118" s="27">
        <v>6</v>
      </c>
      <c r="B118" s="34" t="s">
        <v>25</v>
      </c>
      <c r="C118" s="118" t="s">
        <v>63</v>
      </c>
      <c r="D118" s="118" t="s">
        <v>41</v>
      </c>
    </row>
    <row r="119" spans="1:4" ht="16.5" thickBot="1" x14ac:dyDescent="0.3">
      <c r="A119" s="29" t="s">
        <v>42</v>
      </c>
      <c r="B119" s="66" t="s">
        <v>26</v>
      </c>
      <c r="C119" s="165">
        <v>9.0999999999999998E-2</v>
      </c>
      <c r="D119" s="68">
        <f>C119*C138</f>
        <v>421.85943202643642</v>
      </c>
    </row>
    <row r="120" spans="1:4" ht="16.5" thickBot="1" x14ac:dyDescent="0.3">
      <c r="A120" s="29" t="s">
        <v>44</v>
      </c>
      <c r="B120" s="66" t="s">
        <v>28</v>
      </c>
      <c r="C120" s="165">
        <v>5.8999999999999997E-2</v>
      </c>
      <c r="D120" s="68">
        <f>C120*(C138+D119)</f>
        <v>298.40296461658994</v>
      </c>
    </row>
    <row r="121" spans="1:4" ht="16.5" thickBot="1" x14ac:dyDescent="0.3">
      <c r="A121" s="29" t="s">
        <v>46</v>
      </c>
      <c r="B121" s="30" t="s">
        <v>27</v>
      </c>
      <c r="C121" s="32"/>
      <c r="D121" s="43">
        <f>(C$17+C$61+D$73+C$103+C$113)*C121</f>
        <v>0</v>
      </c>
    </row>
    <row r="122" spans="1:4" ht="16.5" thickBot="1" x14ac:dyDescent="0.3">
      <c r="A122" s="29"/>
      <c r="B122" s="66" t="s">
        <v>114</v>
      </c>
      <c r="C122" s="67">
        <f>C123+C124</f>
        <v>9.2499999999999999E-2</v>
      </c>
      <c r="D122" s="68">
        <f>C122*(C$138+D$119+D$120)</f>
        <v>495.43743061745101</v>
      </c>
    </row>
    <row r="123" spans="1:4" ht="16.5" thickBot="1" x14ac:dyDescent="0.3">
      <c r="A123" s="29"/>
      <c r="B123" s="30" t="s">
        <v>112</v>
      </c>
      <c r="C123" s="166">
        <v>7.5999999999999998E-2</v>
      </c>
      <c r="D123" s="43">
        <f>C123*(C$138+D$119+D$120)</f>
        <v>407.06210515595978</v>
      </c>
    </row>
    <row r="124" spans="1:4" ht="16.5" thickBot="1" x14ac:dyDescent="0.3">
      <c r="A124" s="29"/>
      <c r="B124" s="30" t="s">
        <v>113</v>
      </c>
      <c r="C124" s="166">
        <v>1.6500000000000001E-2</v>
      </c>
      <c r="D124" s="43">
        <f>C124*(C$138+D$119+D$120)</f>
        <v>88.375325461491272</v>
      </c>
    </row>
    <row r="125" spans="1:4" ht="16.5" thickBot="1" x14ac:dyDescent="0.3">
      <c r="A125" s="29"/>
      <c r="B125" s="66" t="s">
        <v>115</v>
      </c>
      <c r="C125" s="67">
        <v>0</v>
      </c>
      <c r="D125" s="68">
        <f>C125*(C$138+D$119+D$120)</f>
        <v>0</v>
      </c>
    </row>
    <row r="126" spans="1:4" ht="16.5" thickBot="1" x14ac:dyDescent="0.3">
      <c r="A126" s="29"/>
      <c r="B126" s="66" t="s">
        <v>116</v>
      </c>
      <c r="C126" s="166">
        <v>0.03</v>
      </c>
      <c r="D126" s="68">
        <f>C126*(C$138+D$119+D$120)</f>
        <v>160.68240992998412</v>
      </c>
    </row>
    <row r="127" spans="1:4" ht="16.5" thickBot="1" x14ac:dyDescent="0.3">
      <c r="A127" s="187" t="s">
        <v>70</v>
      </c>
      <c r="B127" s="188"/>
      <c r="C127" s="67">
        <f>C119+C120+C122+C125+C126</f>
        <v>0.27249999999999996</v>
      </c>
      <c r="D127" s="68">
        <f>D119+D120+D122+D125+D126</f>
        <v>1376.3822371904614</v>
      </c>
    </row>
    <row r="130" spans="1:3" x14ac:dyDescent="0.25">
      <c r="A130" s="185" t="s">
        <v>102</v>
      </c>
      <c r="B130" s="185"/>
      <c r="C130" s="185"/>
    </row>
    <row r="131" spans="1:3" ht="16.5" thickBot="1" x14ac:dyDescent="0.3"/>
    <row r="132" spans="1:3" ht="16.5" thickBot="1" x14ac:dyDescent="0.3">
      <c r="A132" s="27"/>
      <c r="B132" s="118" t="s">
        <v>103</v>
      </c>
      <c r="C132" s="118" t="s">
        <v>41</v>
      </c>
    </row>
    <row r="133" spans="1:3" ht="16.5" thickBot="1" x14ac:dyDescent="0.3">
      <c r="A133" s="36" t="s">
        <v>42</v>
      </c>
      <c r="B133" s="30" t="s">
        <v>39</v>
      </c>
      <c r="C133" s="65">
        <f>C17</f>
        <v>1611.74</v>
      </c>
    </row>
    <row r="134" spans="1:3" ht="16.5" thickBot="1" x14ac:dyDescent="0.3">
      <c r="A134" s="36" t="s">
        <v>44</v>
      </c>
      <c r="B134" s="30" t="s">
        <v>54</v>
      </c>
      <c r="C134" s="65">
        <f>C61</f>
        <v>2434.5883419386669</v>
      </c>
    </row>
    <row r="135" spans="1:3" ht="16.5" thickBot="1" x14ac:dyDescent="0.3">
      <c r="A135" s="36" t="s">
        <v>46</v>
      </c>
      <c r="B135" s="30" t="s">
        <v>77</v>
      </c>
      <c r="C135" s="65">
        <f>D73</f>
        <v>121.26087063999999</v>
      </c>
    </row>
    <row r="136" spans="1:3" ht="16.5" thickBot="1" x14ac:dyDescent="0.3">
      <c r="A136" s="36" t="s">
        <v>48</v>
      </c>
      <c r="B136" s="30" t="s">
        <v>85</v>
      </c>
      <c r="C136" s="65">
        <f>D88</f>
        <v>158.111694</v>
      </c>
    </row>
    <row r="137" spans="1:3" ht="16.5" thickBot="1" x14ac:dyDescent="0.3">
      <c r="A137" s="36" t="s">
        <v>49</v>
      </c>
      <c r="B137" s="30" t="s">
        <v>97</v>
      </c>
      <c r="C137" s="65">
        <f>C113</f>
        <v>310.11702777777782</v>
      </c>
    </row>
    <row r="138" spans="1:3" ht="16.5" customHeight="1" thickBot="1" x14ac:dyDescent="0.3">
      <c r="A138" s="183" t="s">
        <v>104</v>
      </c>
      <c r="B138" s="184"/>
      <c r="C138" s="65">
        <f>SUM(C133:C137)</f>
        <v>4635.8179343564443</v>
      </c>
    </row>
    <row r="139" spans="1:3" ht="16.5" thickBot="1" x14ac:dyDescent="0.3">
      <c r="A139" s="36" t="s">
        <v>51</v>
      </c>
      <c r="B139" s="30" t="s">
        <v>105</v>
      </c>
      <c r="C139" s="65">
        <f>D127</f>
        <v>1376.3822371904614</v>
      </c>
    </row>
    <row r="140" spans="1:3" ht="16.5" customHeight="1" thickBot="1" x14ac:dyDescent="0.3">
      <c r="A140" s="183" t="s">
        <v>106</v>
      </c>
      <c r="B140" s="184"/>
      <c r="C140" s="69">
        <f>C138+C139</f>
        <v>6012.2001715469059</v>
      </c>
    </row>
    <row r="142" spans="1:3" x14ac:dyDescent="0.25">
      <c r="B142" s="167" t="s">
        <v>274</v>
      </c>
      <c r="C142" s="168">
        <f>C140*12</f>
        <v>72146.402058562875</v>
      </c>
    </row>
  </sheetData>
  <mergeCells count="34">
    <mergeCell ref="A127:B127"/>
    <mergeCell ref="A130:C130"/>
    <mergeCell ref="A138:B138"/>
    <mergeCell ref="A140:B140"/>
    <mergeCell ref="A95:B95"/>
    <mergeCell ref="A98:C98"/>
    <mergeCell ref="A103:B103"/>
    <mergeCell ref="A106:C106"/>
    <mergeCell ref="A113:B113"/>
    <mergeCell ref="A116:C116"/>
    <mergeCell ref="A91:C91"/>
    <mergeCell ref="A30:D30"/>
    <mergeCell ref="A41:B41"/>
    <mergeCell ref="A44:C44"/>
    <mergeCell ref="A52:B52"/>
    <mergeCell ref="A55:C55"/>
    <mergeCell ref="A61:B61"/>
    <mergeCell ref="A64:C64"/>
    <mergeCell ref="A73:B73"/>
    <mergeCell ref="A76:C76"/>
    <mergeCell ref="A79:C79"/>
    <mergeCell ref="A88:B88"/>
    <mergeCell ref="A27:B27"/>
    <mergeCell ref="A1:D1"/>
    <mergeCell ref="A2:D2"/>
    <mergeCell ref="A3:D3"/>
    <mergeCell ref="B4:C4"/>
    <mergeCell ref="B5:C5"/>
    <mergeCell ref="B6:C6"/>
    <mergeCell ref="A7:C7"/>
    <mergeCell ref="A17:B17"/>
    <mergeCell ref="A18:C19"/>
    <mergeCell ref="A20:C20"/>
    <mergeCell ref="A22:C2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
  <sheetViews>
    <sheetView showGridLines="0" zoomScaleNormal="100" workbookViewId="0">
      <selection activeCell="D5" sqref="D5"/>
    </sheetView>
  </sheetViews>
  <sheetFormatPr defaultRowHeight="15.75" x14ac:dyDescent="0.25"/>
  <cols>
    <col min="1" max="1" width="16.28515625" style="35" customWidth="1"/>
    <col min="2" max="2" width="72.140625" style="35" customWidth="1"/>
    <col min="3" max="3" width="19.5703125" style="35" customWidth="1"/>
    <col min="4" max="4" width="14.28515625" style="35" customWidth="1"/>
    <col min="5" max="5" width="12.7109375" style="35" customWidth="1"/>
    <col min="6" max="6" width="12" style="35" customWidth="1"/>
    <col min="7" max="7" width="15.140625" style="35" customWidth="1"/>
    <col min="8" max="16384" width="9.140625" style="35"/>
  </cols>
  <sheetData>
    <row r="1" spans="1:4" ht="23.25" x14ac:dyDescent="0.35">
      <c r="A1" s="193" t="s">
        <v>107</v>
      </c>
      <c r="B1" s="193"/>
      <c r="C1" s="193"/>
      <c r="D1" s="193"/>
    </row>
    <row r="2" spans="1:4" ht="23.25" x14ac:dyDescent="0.35">
      <c r="A2" s="193" t="s">
        <v>108</v>
      </c>
      <c r="B2" s="193"/>
      <c r="C2" s="193"/>
      <c r="D2" s="193"/>
    </row>
    <row r="3" spans="1:4" ht="27.75" customHeight="1" x14ac:dyDescent="0.25">
      <c r="A3" s="195" t="s">
        <v>109</v>
      </c>
      <c r="B3" s="195"/>
      <c r="C3" s="195"/>
      <c r="D3" s="195"/>
    </row>
    <row r="4" spans="1:4" ht="64.5" customHeight="1" x14ac:dyDescent="0.25">
      <c r="A4" s="55" t="s">
        <v>117</v>
      </c>
      <c r="B4" s="198" t="s">
        <v>275</v>
      </c>
      <c r="C4" s="198"/>
    </row>
    <row r="5" spans="1:4" x14ac:dyDescent="0.25">
      <c r="A5" s="55" t="s">
        <v>118</v>
      </c>
      <c r="B5" s="190" t="s">
        <v>643</v>
      </c>
      <c r="C5" s="190"/>
    </row>
    <row r="6" spans="1:4" ht="18.75" customHeight="1" x14ac:dyDescent="0.25">
      <c r="A6" s="55" t="s">
        <v>119</v>
      </c>
      <c r="B6" s="198" t="s">
        <v>595</v>
      </c>
      <c r="C6" s="190"/>
    </row>
    <row r="7" spans="1:4" x14ac:dyDescent="0.25">
      <c r="A7" s="194" t="s">
        <v>39</v>
      </c>
      <c r="B7" s="194"/>
      <c r="C7" s="194"/>
    </row>
    <row r="8" spans="1:4" ht="16.5" thickBot="1" x14ac:dyDescent="0.3"/>
    <row r="9" spans="1:4" ht="16.5" thickBot="1" x14ac:dyDescent="0.3">
      <c r="A9" s="27">
        <v>1</v>
      </c>
      <c r="B9" s="80" t="s">
        <v>40</v>
      </c>
      <c r="C9" s="80" t="s">
        <v>41</v>
      </c>
    </row>
    <row r="10" spans="1:4" ht="16.5" thickBot="1" x14ac:dyDescent="0.3">
      <c r="A10" s="29" t="s">
        <v>42</v>
      </c>
      <c r="B10" s="30" t="s">
        <v>252</v>
      </c>
      <c r="C10" s="43">
        <v>3037.75</v>
      </c>
    </row>
    <row r="11" spans="1:4" ht="16.5" thickBot="1" x14ac:dyDescent="0.3">
      <c r="A11" s="29" t="s">
        <v>44</v>
      </c>
      <c r="B11" s="30" t="s">
        <v>45</v>
      </c>
      <c r="C11" s="43"/>
    </row>
    <row r="12" spans="1:4" ht="16.5" thickBot="1" x14ac:dyDescent="0.3">
      <c r="A12" s="29" t="s">
        <v>46</v>
      </c>
      <c r="B12" s="30" t="s">
        <v>47</v>
      </c>
      <c r="C12" s="43"/>
    </row>
    <row r="13" spans="1:4" ht="16.5" thickBot="1" x14ac:dyDescent="0.3">
      <c r="A13" s="29" t="s">
        <v>48</v>
      </c>
      <c r="B13" s="30" t="s">
        <v>4</v>
      </c>
      <c r="C13" s="43"/>
    </row>
    <row r="14" spans="1:4" ht="16.5" thickBot="1" x14ac:dyDescent="0.3">
      <c r="A14" s="29" t="s">
        <v>49</v>
      </c>
      <c r="B14" s="30" t="s">
        <v>50</v>
      </c>
      <c r="C14" s="43"/>
    </row>
    <row r="15" spans="1:4" ht="16.5" thickBot="1" x14ac:dyDescent="0.3">
      <c r="A15" s="29" t="s">
        <v>51</v>
      </c>
      <c r="B15" s="30" t="s">
        <v>251</v>
      </c>
      <c r="C15" s="43"/>
    </row>
    <row r="16" spans="1:4" ht="16.5" thickBot="1" x14ac:dyDescent="0.3">
      <c r="A16" s="29" t="s">
        <v>52</v>
      </c>
      <c r="B16" s="30" t="s">
        <v>53</v>
      </c>
      <c r="C16" s="43"/>
    </row>
    <row r="17" spans="1:4" ht="16.5" thickBot="1" x14ac:dyDescent="0.3">
      <c r="A17" s="183" t="s">
        <v>5</v>
      </c>
      <c r="B17" s="184"/>
      <c r="C17" s="62">
        <f>SUM(C10:C16)</f>
        <v>3037.75</v>
      </c>
    </row>
    <row r="20" spans="1:4" x14ac:dyDescent="0.25">
      <c r="A20" s="185" t="s">
        <v>54</v>
      </c>
      <c r="B20" s="185"/>
      <c r="C20" s="185"/>
    </row>
    <row r="21" spans="1:4" x14ac:dyDescent="0.25">
      <c r="A21" s="26"/>
    </row>
    <row r="22" spans="1:4" x14ac:dyDescent="0.25">
      <c r="A22" s="186" t="s">
        <v>55</v>
      </c>
      <c r="B22" s="186"/>
      <c r="C22" s="186"/>
    </row>
    <row r="23" spans="1:4" ht="16.5" thickBot="1" x14ac:dyDescent="0.3"/>
    <row r="24" spans="1:4" ht="16.5" thickBot="1" x14ac:dyDescent="0.3">
      <c r="A24" s="27" t="s">
        <v>56</v>
      </c>
      <c r="B24" s="80" t="s">
        <v>57</v>
      </c>
      <c r="C24" s="80" t="s">
        <v>63</v>
      </c>
      <c r="D24" s="80" t="s">
        <v>41</v>
      </c>
    </row>
    <row r="25" spans="1:4" ht="16.5" thickBot="1" x14ac:dyDescent="0.3">
      <c r="A25" s="29" t="s">
        <v>42</v>
      </c>
      <c r="B25" s="58" t="s">
        <v>58</v>
      </c>
      <c r="C25" s="54">
        <f>1/12</f>
        <v>8.3333333333333329E-2</v>
      </c>
      <c r="D25" s="59">
        <f>C$17*C25</f>
        <v>253.14583333333331</v>
      </c>
    </row>
    <row r="26" spans="1:4" ht="16.5" thickBot="1" x14ac:dyDescent="0.3">
      <c r="A26" s="29" t="s">
        <v>44</v>
      </c>
      <c r="B26" s="56" t="s">
        <v>59</v>
      </c>
      <c r="C26" s="60">
        <v>0.1111</v>
      </c>
      <c r="D26" s="61">
        <f>C$17*C26</f>
        <v>337.49402500000002</v>
      </c>
    </row>
    <row r="27" spans="1:4" ht="16.5" thickBot="1" x14ac:dyDescent="0.3">
      <c r="A27" s="183" t="s">
        <v>5</v>
      </c>
      <c r="B27" s="184"/>
      <c r="C27" s="63">
        <f>SUM(C25:C26)</f>
        <v>0.19443333333333335</v>
      </c>
      <c r="D27" s="64">
        <f>C$17*C27</f>
        <v>590.63985833333334</v>
      </c>
    </row>
    <row r="30" spans="1:4" ht="32.25" customHeight="1" x14ac:dyDescent="0.25">
      <c r="A30" s="189" t="s">
        <v>60</v>
      </c>
      <c r="B30" s="189"/>
      <c r="C30" s="189"/>
      <c r="D30" s="189"/>
    </row>
    <row r="31" spans="1:4" ht="16.5" thickBot="1" x14ac:dyDescent="0.3"/>
    <row r="32" spans="1:4" ht="16.5" thickBot="1" x14ac:dyDescent="0.3">
      <c r="A32" s="27" t="s">
        <v>61</v>
      </c>
      <c r="B32" s="80" t="s">
        <v>62</v>
      </c>
      <c r="C32" s="80" t="s">
        <v>63</v>
      </c>
      <c r="D32" s="80" t="s">
        <v>41</v>
      </c>
    </row>
    <row r="33" spans="1:4" ht="16.5" thickBot="1" x14ac:dyDescent="0.3">
      <c r="A33" s="29" t="s">
        <v>42</v>
      </c>
      <c r="B33" s="30" t="s">
        <v>64</v>
      </c>
      <c r="C33" s="32">
        <v>0.2</v>
      </c>
      <c r="D33" s="61">
        <f t="shared" ref="D33:D41" si="0">(D$27+C$17)*C33</f>
        <v>725.67797166666674</v>
      </c>
    </row>
    <row r="34" spans="1:4" ht="16.5" thickBot="1" x14ac:dyDescent="0.3">
      <c r="A34" s="29" t="s">
        <v>44</v>
      </c>
      <c r="B34" s="30" t="s">
        <v>65</v>
      </c>
      <c r="C34" s="32">
        <v>2.5000000000000001E-2</v>
      </c>
      <c r="D34" s="61">
        <f t="shared" si="0"/>
        <v>90.709746458333342</v>
      </c>
    </row>
    <row r="35" spans="1:4" ht="16.5" thickBot="1" x14ac:dyDescent="0.3">
      <c r="A35" s="29" t="s">
        <v>46</v>
      </c>
      <c r="B35" s="30" t="s">
        <v>66</v>
      </c>
      <c r="C35" s="166">
        <v>0.01</v>
      </c>
      <c r="D35" s="61">
        <f t="shared" si="0"/>
        <v>36.283898583333333</v>
      </c>
    </row>
    <row r="36" spans="1:4" ht="16.5" thickBot="1" x14ac:dyDescent="0.3">
      <c r="A36" s="29" t="s">
        <v>48</v>
      </c>
      <c r="B36" s="30" t="s">
        <v>67</v>
      </c>
      <c r="C36" s="32">
        <v>1.4999999999999999E-2</v>
      </c>
      <c r="D36" s="61">
        <f t="shared" si="0"/>
        <v>54.425847875000002</v>
      </c>
    </row>
    <row r="37" spans="1:4" ht="16.5" thickBot="1" x14ac:dyDescent="0.3">
      <c r="A37" s="29" t="s">
        <v>49</v>
      </c>
      <c r="B37" s="30" t="s">
        <v>68</v>
      </c>
      <c r="C37" s="32">
        <v>0.01</v>
      </c>
      <c r="D37" s="61">
        <f t="shared" si="0"/>
        <v>36.283898583333333</v>
      </c>
    </row>
    <row r="38" spans="1:4" ht="16.5" thickBot="1" x14ac:dyDescent="0.3">
      <c r="A38" s="29" t="s">
        <v>51</v>
      </c>
      <c r="B38" s="30" t="s">
        <v>7</v>
      </c>
      <c r="C38" s="32">
        <v>6.0000000000000001E-3</v>
      </c>
      <c r="D38" s="61">
        <f t="shared" si="0"/>
        <v>21.770339150000002</v>
      </c>
    </row>
    <row r="39" spans="1:4" ht="16.5" thickBot="1" x14ac:dyDescent="0.3">
      <c r="A39" s="29" t="s">
        <v>52</v>
      </c>
      <c r="B39" s="30" t="s">
        <v>8</v>
      </c>
      <c r="C39" s="32">
        <v>2E-3</v>
      </c>
      <c r="D39" s="61">
        <f t="shared" si="0"/>
        <v>7.2567797166666672</v>
      </c>
    </row>
    <row r="40" spans="1:4" ht="16.5" thickBot="1" x14ac:dyDescent="0.3">
      <c r="A40" s="29" t="s">
        <v>69</v>
      </c>
      <c r="B40" s="30" t="s">
        <v>9</v>
      </c>
      <c r="C40" s="32">
        <v>0.08</v>
      </c>
      <c r="D40" s="61">
        <f t="shared" si="0"/>
        <v>290.27118866666666</v>
      </c>
    </row>
    <row r="41" spans="1:4" ht="16.5" thickBot="1" x14ac:dyDescent="0.3">
      <c r="A41" s="183" t="s">
        <v>70</v>
      </c>
      <c r="B41" s="184"/>
      <c r="C41" s="32">
        <f>SUM(C33:C40)</f>
        <v>0.34800000000000003</v>
      </c>
      <c r="D41" s="61">
        <f t="shared" si="0"/>
        <v>1262.6796707000001</v>
      </c>
    </row>
    <row r="44" spans="1:4" x14ac:dyDescent="0.25">
      <c r="A44" s="186" t="s">
        <v>71</v>
      </c>
      <c r="B44" s="186"/>
      <c r="C44" s="186"/>
    </row>
    <row r="45" spans="1:4" ht="16.5" thickBot="1" x14ac:dyDescent="0.3"/>
    <row r="46" spans="1:4" ht="16.5" thickBot="1" x14ac:dyDescent="0.3">
      <c r="A46" s="27" t="s">
        <v>72</v>
      </c>
      <c r="B46" s="80" t="s">
        <v>73</v>
      </c>
      <c r="C46" s="80" t="s">
        <v>41</v>
      </c>
    </row>
    <row r="47" spans="1:4" ht="16.5" thickBot="1" x14ac:dyDescent="0.3">
      <c r="A47" s="29" t="s">
        <v>42</v>
      </c>
      <c r="B47" s="30" t="s">
        <v>74</v>
      </c>
      <c r="C47" s="48">
        <f>'Planilha de Apoio'!D22</f>
        <v>46.535000000000025</v>
      </c>
    </row>
    <row r="48" spans="1:4" ht="16.5" thickBot="1" x14ac:dyDescent="0.3">
      <c r="A48" s="29" t="s">
        <v>44</v>
      </c>
      <c r="B48" s="30" t="s">
        <v>120</v>
      </c>
      <c r="C48" s="43">
        <f>'Planilha de Apoio'!D26</f>
        <v>635.14</v>
      </c>
    </row>
    <row r="49" spans="1:3" ht="16.5" thickBot="1" x14ac:dyDescent="0.3">
      <c r="A49" s="29" t="s">
        <v>46</v>
      </c>
      <c r="B49" s="30" t="s">
        <v>131</v>
      </c>
      <c r="C49" s="43">
        <v>0</v>
      </c>
    </row>
    <row r="50" spans="1:3" ht="16.5" thickBot="1" x14ac:dyDescent="0.3">
      <c r="A50" s="71" t="s">
        <v>48</v>
      </c>
      <c r="B50" s="70" t="s">
        <v>121</v>
      </c>
      <c r="C50" s="43">
        <v>0</v>
      </c>
    </row>
    <row r="51" spans="1:3" ht="32.25" thickBot="1" x14ac:dyDescent="0.3">
      <c r="A51" s="71" t="s">
        <v>49</v>
      </c>
      <c r="B51" s="57" t="s">
        <v>269</v>
      </c>
      <c r="C51" s="43">
        <f>'Planilha de Apoio'!E6</f>
        <v>777.95</v>
      </c>
    </row>
    <row r="52" spans="1:3" ht="16.5" thickBot="1" x14ac:dyDescent="0.3">
      <c r="A52" s="196" t="s">
        <v>5</v>
      </c>
      <c r="B52" s="197"/>
      <c r="C52" s="43">
        <f>SUM(C47:C51)</f>
        <v>1459.625</v>
      </c>
    </row>
    <row r="55" spans="1:3" x14ac:dyDescent="0.25">
      <c r="A55" s="186" t="s">
        <v>75</v>
      </c>
      <c r="B55" s="186"/>
      <c r="C55" s="186"/>
    </row>
    <row r="56" spans="1:3" ht="16.5" thickBot="1" x14ac:dyDescent="0.3"/>
    <row r="57" spans="1:3" ht="16.5" thickBot="1" x14ac:dyDescent="0.3">
      <c r="A57" s="27">
        <v>2</v>
      </c>
      <c r="B57" s="80" t="s">
        <v>76</v>
      </c>
      <c r="C57" s="80" t="s">
        <v>41</v>
      </c>
    </row>
    <row r="58" spans="1:3" ht="16.5" thickBot="1" x14ac:dyDescent="0.3">
      <c r="A58" s="29" t="s">
        <v>56</v>
      </c>
      <c r="B58" s="30" t="s">
        <v>57</v>
      </c>
      <c r="C58" s="43">
        <f>D27</f>
        <v>590.63985833333334</v>
      </c>
    </row>
    <row r="59" spans="1:3" ht="16.5" thickBot="1" x14ac:dyDescent="0.3">
      <c r="A59" s="29" t="s">
        <v>61</v>
      </c>
      <c r="B59" s="30" t="s">
        <v>62</v>
      </c>
      <c r="C59" s="43">
        <f>D41</f>
        <v>1262.6796707000001</v>
      </c>
    </row>
    <row r="60" spans="1:3" ht="16.5" thickBot="1" x14ac:dyDescent="0.3">
      <c r="A60" s="29" t="s">
        <v>72</v>
      </c>
      <c r="B60" s="30" t="s">
        <v>73</v>
      </c>
      <c r="C60" s="43">
        <f>C52</f>
        <v>1459.625</v>
      </c>
    </row>
    <row r="61" spans="1:3" ht="16.5" thickBot="1" x14ac:dyDescent="0.3">
      <c r="A61" s="183" t="s">
        <v>5</v>
      </c>
      <c r="B61" s="184"/>
      <c r="C61" s="43">
        <f>SUM(C58:C60)</f>
        <v>3312.9445290333333</v>
      </c>
    </row>
    <row r="62" spans="1:3" x14ac:dyDescent="0.25">
      <c r="A62" s="6"/>
    </row>
    <row r="64" spans="1:3" x14ac:dyDescent="0.25">
      <c r="A64" s="185" t="s">
        <v>77</v>
      </c>
      <c r="B64" s="185"/>
      <c r="C64" s="185"/>
    </row>
    <row r="65" spans="1:4" ht="16.5" thickBot="1" x14ac:dyDescent="0.3"/>
    <row r="66" spans="1:4" ht="16.5" thickBot="1" x14ac:dyDescent="0.3">
      <c r="A66" s="27">
        <v>3</v>
      </c>
      <c r="B66" s="80" t="s">
        <v>78</v>
      </c>
      <c r="C66" s="80" t="s">
        <v>63</v>
      </c>
      <c r="D66" s="80" t="s">
        <v>41</v>
      </c>
    </row>
    <row r="67" spans="1:4" ht="16.5" thickBot="1" x14ac:dyDescent="0.3">
      <c r="A67" s="29" t="s">
        <v>42</v>
      </c>
      <c r="B67" s="33" t="s">
        <v>79</v>
      </c>
      <c r="C67" s="51">
        <v>4.1999999999999997E-3</v>
      </c>
      <c r="D67" s="43">
        <f>(C$17)*C67</f>
        <v>12.75855</v>
      </c>
    </row>
    <row r="68" spans="1:4" ht="16.5" thickBot="1" x14ac:dyDescent="0.3">
      <c r="A68" s="29" t="s">
        <v>44</v>
      </c>
      <c r="B68" s="49" t="s">
        <v>80</v>
      </c>
      <c r="C68" s="52">
        <f>C67*8%</f>
        <v>3.3599999999999998E-4</v>
      </c>
      <c r="D68" s="43">
        <f t="shared" ref="D68:D73" si="1">(C$17)*C68</f>
        <v>1.0206839999999999</v>
      </c>
    </row>
    <row r="69" spans="1:4" ht="16.5" thickBot="1" x14ac:dyDescent="0.3">
      <c r="A69" s="29" t="s">
        <v>46</v>
      </c>
      <c r="B69" s="33" t="s">
        <v>81</v>
      </c>
      <c r="C69" s="50">
        <v>4.3499999999999997E-2</v>
      </c>
      <c r="D69" s="43">
        <f t="shared" si="1"/>
        <v>132.14212499999999</v>
      </c>
    </row>
    <row r="70" spans="1:4" ht="16.5" thickBot="1" x14ac:dyDescent="0.3">
      <c r="A70" s="29" t="s">
        <v>48</v>
      </c>
      <c r="B70" s="33" t="s">
        <v>82</v>
      </c>
      <c r="C70" s="53">
        <v>1.9400000000000001E-2</v>
      </c>
      <c r="D70" s="43">
        <f t="shared" si="1"/>
        <v>58.93235</v>
      </c>
    </row>
    <row r="71" spans="1:4" ht="16.5" thickBot="1" x14ac:dyDescent="0.3">
      <c r="A71" s="29" t="s">
        <v>49</v>
      </c>
      <c r="B71" s="33" t="s">
        <v>83</v>
      </c>
      <c r="C71" s="50">
        <v>7.0000000000000001E-3</v>
      </c>
      <c r="D71" s="43">
        <f t="shared" si="1"/>
        <v>21.264250000000001</v>
      </c>
    </row>
    <row r="72" spans="1:4" ht="16.5" thickBot="1" x14ac:dyDescent="0.3">
      <c r="A72" s="29" t="s">
        <v>51</v>
      </c>
      <c r="B72" s="33" t="s">
        <v>84</v>
      </c>
      <c r="C72" s="50">
        <v>8.0000000000000004E-4</v>
      </c>
      <c r="D72" s="43">
        <f t="shared" si="1"/>
        <v>2.4302000000000001</v>
      </c>
    </row>
    <row r="73" spans="1:4" ht="16.5" thickBot="1" x14ac:dyDescent="0.3">
      <c r="A73" s="183" t="s">
        <v>5</v>
      </c>
      <c r="B73" s="184"/>
      <c r="C73" s="50">
        <f>SUM(C67:C72)</f>
        <v>7.5235999999999997E-2</v>
      </c>
      <c r="D73" s="43">
        <f t="shared" si="1"/>
        <v>228.548159</v>
      </c>
    </row>
    <row r="76" spans="1:4" x14ac:dyDescent="0.25">
      <c r="A76" s="185" t="s">
        <v>85</v>
      </c>
      <c r="B76" s="185"/>
      <c r="C76" s="185"/>
    </row>
    <row r="79" spans="1:4" x14ac:dyDescent="0.25">
      <c r="A79" s="186" t="s">
        <v>86</v>
      </c>
      <c r="B79" s="186"/>
      <c r="C79" s="186"/>
    </row>
    <row r="80" spans="1:4" ht="16.5" thickBot="1" x14ac:dyDescent="0.3">
      <c r="A80" s="26"/>
    </row>
    <row r="81" spans="1:4" ht="16.5" thickBot="1" x14ac:dyDescent="0.3">
      <c r="A81" s="27" t="s">
        <v>87</v>
      </c>
      <c r="B81" s="80" t="s">
        <v>88</v>
      </c>
      <c r="C81" s="80" t="s">
        <v>63</v>
      </c>
      <c r="D81" s="80" t="s">
        <v>41</v>
      </c>
    </row>
    <row r="82" spans="1:4" ht="16.5" thickBot="1" x14ac:dyDescent="0.3">
      <c r="A82" s="29" t="s">
        <v>42</v>
      </c>
      <c r="B82" s="30" t="s">
        <v>6</v>
      </c>
      <c r="C82" s="50">
        <v>8.3299999999999999E-2</v>
      </c>
      <c r="D82" s="43">
        <f>(C$17)*C82</f>
        <v>253.04457500000001</v>
      </c>
    </row>
    <row r="83" spans="1:4" ht="16.5" thickBot="1" x14ac:dyDescent="0.3">
      <c r="A83" s="29" t="s">
        <v>44</v>
      </c>
      <c r="B83" s="30" t="s">
        <v>88</v>
      </c>
      <c r="C83" s="50">
        <v>8.2000000000000007E-3</v>
      </c>
      <c r="D83" s="43">
        <f t="shared" ref="D83:D88" si="2">(C$17)*C83</f>
        <v>24.909550000000003</v>
      </c>
    </row>
    <row r="84" spans="1:4" ht="16.5" thickBot="1" x14ac:dyDescent="0.3">
      <c r="A84" s="29" t="s">
        <v>46</v>
      </c>
      <c r="B84" s="30" t="s">
        <v>89</v>
      </c>
      <c r="C84" s="50">
        <v>2.0000000000000001E-4</v>
      </c>
      <c r="D84" s="43">
        <f t="shared" si="2"/>
        <v>0.60755000000000003</v>
      </c>
    </row>
    <row r="85" spans="1:4" ht="16.5" thickBot="1" x14ac:dyDescent="0.3">
      <c r="A85" s="29" t="s">
        <v>48</v>
      </c>
      <c r="B85" s="30" t="s">
        <v>90</v>
      </c>
      <c r="C85" s="50">
        <v>2.9999999999999997E-4</v>
      </c>
      <c r="D85" s="43">
        <f t="shared" si="2"/>
        <v>0.91132499999999994</v>
      </c>
    </row>
    <row r="86" spans="1:4" ht="16.5" thickBot="1" x14ac:dyDescent="0.3">
      <c r="A86" s="29" t="s">
        <v>49</v>
      </c>
      <c r="B86" s="30" t="s">
        <v>91</v>
      </c>
      <c r="C86" s="50">
        <v>6.1000000000000004E-3</v>
      </c>
      <c r="D86" s="43">
        <f t="shared" si="2"/>
        <v>18.530275</v>
      </c>
    </row>
    <row r="87" spans="1:4" ht="16.5" thickBot="1" x14ac:dyDescent="0.3">
      <c r="A87" s="29" t="s">
        <v>51</v>
      </c>
      <c r="B87" s="30" t="s">
        <v>53</v>
      </c>
      <c r="C87" s="50">
        <v>0</v>
      </c>
      <c r="D87" s="43">
        <f t="shared" si="2"/>
        <v>0</v>
      </c>
    </row>
    <row r="88" spans="1:4" ht="16.5" thickBot="1" x14ac:dyDescent="0.3">
      <c r="A88" s="183" t="s">
        <v>70</v>
      </c>
      <c r="B88" s="184"/>
      <c r="C88" s="50">
        <v>9.8100000000000007E-2</v>
      </c>
      <c r="D88" s="43">
        <f t="shared" si="2"/>
        <v>298.00327500000003</v>
      </c>
    </row>
    <row r="91" spans="1:4" x14ac:dyDescent="0.25">
      <c r="A91" s="186" t="s">
        <v>92</v>
      </c>
      <c r="B91" s="186"/>
      <c r="C91" s="186"/>
    </row>
    <row r="92" spans="1:4" ht="16.5" thickBot="1" x14ac:dyDescent="0.3">
      <c r="A92" s="26"/>
    </row>
    <row r="93" spans="1:4" ht="16.5" thickBot="1" x14ac:dyDescent="0.3">
      <c r="A93" s="27" t="s">
        <v>93</v>
      </c>
      <c r="B93" s="80" t="s">
        <v>94</v>
      </c>
      <c r="C93" s="80" t="s">
        <v>41</v>
      </c>
    </row>
    <row r="94" spans="1:4" ht="16.5" thickBot="1" x14ac:dyDescent="0.3">
      <c r="A94" s="29" t="s">
        <v>42</v>
      </c>
      <c r="B94" s="30" t="s">
        <v>110</v>
      </c>
      <c r="C94" s="42"/>
    </row>
    <row r="95" spans="1:4" ht="16.5" thickBot="1" x14ac:dyDescent="0.3">
      <c r="A95" s="183" t="s">
        <v>5</v>
      </c>
      <c r="B95" s="184"/>
      <c r="C95" s="42"/>
    </row>
    <row r="98" spans="1:3" x14ac:dyDescent="0.25">
      <c r="A98" s="186" t="s">
        <v>95</v>
      </c>
      <c r="B98" s="186"/>
      <c r="C98" s="186"/>
    </row>
    <row r="99" spans="1:3" ht="16.5" thickBot="1" x14ac:dyDescent="0.3">
      <c r="A99" s="26"/>
    </row>
    <row r="100" spans="1:3" ht="16.5" thickBot="1" x14ac:dyDescent="0.3">
      <c r="A100" s="27">
        <v>4</v>
      </c>
      <c r="B100" s="80" t="s">
        <v>96</v>
      </c>
      <c r="C100" s="80" t="s">
        <v>41</v>
      </c>
    </row>
    <row r="101" spans="1:3" ht="16.5" thickBot="1" x14ac:dyDescent="0.3">
      <c r="A101" s="29" t="s">
        <v>87</v>
      </c>
      <c r="B101" s="30" t="s">
        <v>88</v>
      </c>
      <c r="C101" s="43">
        <f>D88</f>
        <v>298.00327500000003</v>
      </c>
    </row>
    <row r="102" spans="1:3" ht="16.5" thickBot="1" x14ac:dyDescent="0.3">
      <c r="A102" s="29" t="s">
        <v>93</v>
      </c>
      <c r="B102" s="30" t="s">
        <v>94</v>
      </c>
      <c r="C102" s="43">
        <f>C95</f>
        <v>0</v>
      </c>
    </row>
    <row r="103" spans="1:3" ht="16.5" thickBot="1" x14ac:dyDescent="0.3">
      <c r="A103" s="183" t="s">
        <v>5</v>
      </c>
      <c r="B103" s="184"/>
      <c r="C103" s="62">
        <f>C101+C102</f>
        <v>298.00327500000003</v>
      </c>
    </row>
    <row r="106" spans="1:3" x14ac:dyDescent="0.25">
      <c r="A106" s="185" t="s">
        <v>97</v>
      </c>
      <c r="B106" s="185"/>
      <c r="C106" s="185"/>
    </row>
    <row r="107" spans="1:3" ht="16.5" thickBot="1" x14ac:dyDescent="0.3"/>
    <row r="108" spans="1:3" ht="16.5" thickBot="1" x14ac:dyDescent="0.3">
      <c r="A108" s="27">
        <v>5</v>
      </c>
      <c r="B108" s="34" t="s">
        <v>24</v>
      </c>
      <c r="C108" s="80" t="s">
        <v>41</v>
      </c>
    </row>
    <row r="109" spans="1:3" ht="16.5" thickBot="1" x14ac:dyDescent="0.3">
      <c r="A109" s="29" t="s">
        <v>42</v>
      </c>
      <c r="B109" s="30" t="s">
        <v>98</v>
      </c>
      <c r="C109" s="43">
        <f>'Planilha de Apoio'!C42</f>
        <v>86.948888888888902</v>
      </c>
    </row>
    <row r="110" spans="1:3" ht="16.5" thickBot="1" x14ac:dyDescent="0.3">
      <c r="A110" s="29" t="s">
        <v>44</v>
      </c>
      <c r="B110" s="30" t="s">
        <v>99</v>
      </c>
      <c r="C110" s="43">
        <v>0</v>
      </c>
    </row>
    <row r="111" spans="1:3" ht="16.5" thickBot="1" x14ac:dyDescent="0.3">
      <c r="A111" s="29" t="s">
        <v>46</v>
      </c>
      <c r="B111" s="30" t="s">
        <v>100</v>
      </c>
      <c r="C111" s="43">
        <v>0</v>
      </c>
    </row>
    <row r="112" spans="1:3" ht="16.5" thickBot="1" x14ac:dyDescent="0.3">
      <c r="A112" s="29" t="s">
        <v>48</v>
      </c>
      <c r="B112" s="30" t="s">
        <v>53</v>
      </c>
      <c r="C112" s="43">
        <v>0</v>
      </c>
    </row>
    <row r="113" spans="1:4" ht="16.5" thickBot="1" x14ac:dyDescent="0.3">
      <c r="A113" s="183" t="s">
        <v>70</v>
      </c>
      <c r="B113" s="184"/>
      <c r="C113" s="43">
        <f>SUM(C109:C112)</f>
        <v>86.948888888888902</v>
      </c>
    </row>
    <row r="116" spans="1:4" x14ac:dyDescent="0.25">
      <c r="A116" s="185" t="s">
        <v>101</v>
      </c>
      <c r="B116" s="185"/>
      <c r="C116" s="185"/>
    </row>
    <row r="117" spans="1:4" ht="16.5" thickBot="1" x14ac:dyDescent="0.3"/>
    <row r="118" spans="1:4" ht="16.5" thickBot="1" x14ac:dyDescent="0.3">
      <c r="A118" s="27">
        <v>6</v>
      </c>
      <c r="B118" s="34" t="s">
        <v>25</v>
      </c>
      <c r="C118" s="80" t="s">
        <v>63</v>
      </c>
      <c r="D118" s="80" t="s">
        <v>41</v>
      </c>
    </row>
    <row r="119" spans="1:4" ht="16.5" thickBot="1" x14ac:dyDescent="0.3">
      <c r="A119" s="29" t="s">
        <v>42</v>
      </c>
      <c r="B119" s="66" t="s">
        <v>26</v>
      </c>
      <c r="C119" s="165">
        <v>9.0999999999999998E-2</v>
      </c>
      <c r="D119" s="68">
        <f>C119*C138</f>
        <v>633.74173152492222</v>
      </c>
    </row>
    <row r="120" spans="1:4" ht="16.5" thickBot="1" x14ac:dyDescent="0.3">
      <c r="A120" s="29" t="s">
        <v>44</v>
      </c>
      <c r="B120" s="66" t="s">
        <v>28</v>
      </c>
      <c r="C120" s="165">
        <v>5.8999999999999997E-2</v>
      </c>
      <c r="D120" s="68">
        <f>C120*(C138+D119)</f>
        <v>448.27825842338149</v>
      </c>
    </row>
    <row r="121" spans="1:4" ht="16.5" thickBot="1" x14ac:dyDescent="0.3">
      <c r="A121" s="29" t="s">
        <v>46</v>
      </c>
      <c r="B121" s="30" t="s">
        <v>27</v>
      </c>
      <c r="C121" s="32"/>
      <c r="D121" s="43">
        <f>(C$17+C$61+D$73+C$103+C$113)*C121</f>
        <v>0</v>
      </c>
    </row>
    <row r="122" spans="1:4" ht="16.5" thickBot="1" x14ac:dyDescent="0.3">
      <c r="A122" s="29"/>
      <c r="B122" s="66" t="s">
        <v>114</v>
      </c>
      <c r="C122" s="67">
        <f>C123+C124</f>
        <v>9.2499999999999999E-2</v>
      </c>
      <c r="D122" s="68">
        <f>C122*(C$138+D$119+D$120)</f>
        <v>744.2748728730237</v>
      </c>
    </row>
    <row r="123" spans="1:4" ht="16.5" thickBot="1" x14ac:dyDescent="0.3">
      <c r="A123" s="29"/>
      <c r="B123" s="30" t="s">
        <v>112</v>
      </c>
      <c r="C123" s="166">
        <v>7.5999999999999998E-2</v>
      </c>
      <c r="D123" s="43">
        <f>C123*(C$138+D$119+D$120)</f>
        <v>611.51232798215995</v>
      </c>
    </row>
    <row r="124" spans="1:4" ht="16.5" thickBot="1" x14ac:dyDescent="0.3">
      <c r="A124" s="29"/>
      <c r="B124" s="30" t="s">
        <v>113</v>
      </c>
      <c r="C124" s="166">
        <v>1.6500000000000001E-2</v>
      </c>
      <c r="D124" s="43">
        <f>C124*(C$138+D$119+D$120)</f>
        <v>132.76254489086369</v>
      </c>
    </row>
    <row r="125" spans="1:4" ht="16.5" thickBot="1" x14ac:dyDescent="0.3">
      <c r="A125" s="29"/>
      <c r="B125" s="66" t="s">
        <v>115</v>
      </c>
      <c r="C125" s="67">
        <v>0</v>
      </c>
      <c r="D125" s="68">
        <f>C125*(C$138+D$119+D$120)</f>
        <v>0</v>
      </c>
    </row>
    <row r="126" spans="1:4" ht="16.5" thickBot="1" x14ac:dyDescent="0.3">
      <c r="A126" s="29"/>
      <c r="B126" s="66" t="s">
        <v>116</v>
      </c>
      <c r="C126" s="166">
        <v>0.03</v>
      </c>
      <c r="D126" s="68">
        <f>C126*(C$138+D$119+D$120)</f>
        <v>241.38644525611579</v>
      </c>
    </row>
    <row r="127" spans="1:4" ht="16.5" thickBot="1" x14ac:dyDescent="0.3">
      <c r="A127" s="187" t="s">
        <v>70</v>
      </c>
      <c r="B127" s="188"/>
      <c r="C127" s="67">
        <f>C119+C120+C122+C125+C126</f>
        <v>0.27249999999999996</v>
      </c>
      <c r="D127" s="68">
        <f>D119+D120+D122+D125+D126</f>
        <v>2067.6813080774432</v>
      </c>
    </row>
    <row r="130" spans="1:3" x14ac:dyDescent="0.25">
      <c r="A130" s="185" t="s">
        <v>102</v>
      </c>
      <c r="B130" s="185"/>
      <c r="C130" s="185"/>
    </row>
    <row r="131" spans="1:3" ht="16.5" thickBot="1" x14ac:dyDescent="0.3"/>
    <row r="132" spans="1:3" ht="16.5" thickBot="1" x14ac:dyDescent="0.3">
      <c r="A132" s="27"/>
      <c r="B132" s="80" t="s">
        <v>103</v>
      </c>
      <c r="C132" s="80" t="s">
        <v>41</v>
      </c>
    </row>
    <row r="133" spans="1:3" ht="16.5" thickBot="1" x14ac:dyDescent="0.3">
      <c r="A133" s="36" t="s">
        <v>42</v>
      </c>
      <c r="B133" s="30" t="s">
        <v>39</v>
      </c>
      <c r="C133" s="65">
        <f>C17</f>
        <v>3037.75</v>
      </c>
    </row>
    <row r="134" spans="1:3" ht="16.5" thickBot="1" x14ac:dyDescent="0.3">
      <c r="A134" s="36" t="s">
        <v>44</v>
      </c>
      <c r="B134" s="30" t="s">
        <v>54</v>
      </c>
      <c r="C134" s="65">
        <f>C61</f>
        <v>3312.9445290333333</v>
      </c>
    </row>
    <row r="135" spans="1:3" ht="16.5" thickBot="1" x14ac:dyDescent="0.3">
      <c r="A135" s="36" t="s">
        <v>46</v>
      </c>
      <c r="B135" s="30" t="s">
        <v>77</v>
      </c>
      <c r="C135" s="65">
        <f>D73</f>
        <v>228.548159</v>
      </c>
    </row>
    <row r="136" spans="1:3" ht="16.5" thickBot="1" x14ac:dyDescent="0.3">
      <c r="A136" s="36" t="s">
        <v>48</v>
      </c>
      <c r="B136" s="30" t="s">
        <v>85</v>
      </c>
      <c r="C136" s="65">
        <f>D88</f>
        <v>298.00327500000003</v>
      </c>
    </row>
    <row r="137" spans="1:3" ht="16.5" thickBot="1" x14ac:dyDescent="0.3">
      <c r="A137" s="36" t="s">
        <v>49</v>
      </c>
      <c r="B137" s="30" t="s">
        <v>97</v>
      </c>
      <c r="C137" s="65">
        <f>C113</f>
        <v>86.948888888888902</v>
      </c>
    </row>
    <row r="138" spans="1:3" ht="16.5" customHeight="1" thickBot="1" x14ac:dyDescent="0.3">
      <c r="A138" s="183" t="s">
        <v>104</v>
      </c>
      <c r="B138" s="184"/>
      <c r="C138" s="65">
        <f>SUM(C133:C137)</f>
        <v>6964.1948519222224</v>
      </c>
    </row>
    <row r="139" spans="1:3" ht="16.5" thickBot="1" x14ac:dyDescent="0.3">
      <c r="A139" s="36" t="s">
        <v>51</v>
      </c>
      <c r="B139" s="30" t="s">
        <v>105</v>
      </c>
      <c r="C139" s="65">
        <f>D127</f>
        <v>2067.6813080774432</v>
      </c>
    </row>
    <row r="140" spans="1:3" ht="16.5" customHeight="1" thickBot="1" x14ac:dyDescent="0.3">
      <c r="A140" s="183" t="s">
        <v>106</v>
      </c>
      <c r="B140" s="184"/>
      <c r="C140" s="69">
        <f>C138+C139</f>
        <v>9031.8761599996651</v>
      </c>
    </row>
    <row r="142" spans="1:3" x14ac:dyDescent="0.25">
      <c r="B142" s="167" t="s">
        <v>596</v>
      </c>
      <c r="C142" s="168">
        <f>C140*12</f>
        <v>108382.51391999598</v>
      </c>
    </row>
  </sheetData>
  <mergeCells count="33">
    <mergeCell ref="A30:D30"/>
    <mergeCell ref="A1:D1"/>
    <mergeCell ref="A2:D2"/>
    <mergeCell ref="A3:D3"/>
    <mergeCell ref="B4:C4"/>
    <mergeCell ref="B5:C5"/>
    <mergeCell ref="B6:C6"/>
    <mergeCell ref="A7:C7"/>
    <mergeCell ref="A17:B17"/>
    <mergeCell ref="A20:C20"/>
    <mergeCell ref="A22:C22"/>
    <mergeCell ref="A27:B27"/>
    <mergeCell ref="A95:B95"/>
    <mergeCell ref="A41:B41"/>
    <mergeCell ref="A44:C44"/>
    <mergeCell ref="A52:B52"/>
    <mergeCell ref="A55:C55"/>
    <mergeCell ref="A61:B61"/>
    <mergeCell ref="A64:C64"/>
    <mergeCell ref="A73:B73"/>
    <mergeCell ref="A76:C76"/>
    <mergeCell ref="A79:C79"/>
    <mergeCell ref="A88:B88"/>
    <mergeCell ref="A91:C91"/>
    <mergeCell ref="A130:C130"/>
    <mergeCell ref="A138:B138"/>
    <mergeCell ref="A140:B140"/>
    <mergeCell ref="A98:C98"/>
    <mergeCell ref="A103:B103"/>
    <mergeCell ref="A106:C106"/>
    <mergeCell ref="A113:B113"/>
    <mergeCell ref="A116:C116"/>
    <mergeCell ref="A127:B127"/>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
  <sheetViews>
    <sheetView showGridLines="0" zoomScaleNormal="100" workbookViewId="0">
      <selection activeCell="B6" sqref="B6:C6"/>
    </sheetView>
  </sheetViews>
  <sheetFormatPr defaultRowHeight="15.75" x14ac:dyDescent="0.25"/>
  <cols>
    <col min="1" max="1" width="16.28515625" style="35" customWidth="1"/>
    <col min="2" max="2" width="74.85546875" style="35" customWidth="1"/>
    <col min="3" max="3" width="18" style="35" customWidth="1"/>
    <col min="4" max="4" width="14.28515625" style="35" customWidth="1"/>
    <col min="5" max="5" width="12.7109375" style="35" customWidth="1"/>
    <col min="6" max="6" width="12" style="35" customWidth="1"/>
    <col min="7" max="7" width="15.140625" style="35" customWidth="1"/>
    <col min="8" max="16384" width="9.140625" style="35"/>
  </cols>
  <sheetData>
    <row r="1" spans="1:4" ht="23.25" x14ac:dyDescent="0.35">
      <c r="A1" s="193" t="s">
        <v>107</v>
      </c>
      <c r="B1" s="193"/>
      <c r="C1" s="193"/>
      <c r="D1" s="193"/>
    </row>
    <row r="2" spans="1:4" ht="23.25" x14ac:dyDescent="0.35">
      <c r="A2" s="193" t="s">
        <v>108</v>
      </c>
      <c r="B2" s="193"/>
      <c r="C2" s="193"/>
      <c r="D2" s="193"/>
    </row>
    <row r="3" spans="1:4" ht="27.75" customHeight="1" x14ac:dyDescent="0.25">
      <c r="A3" s="195" t="s">
        <v>109</v>
      </c>
      <c r="B3" s="195"/>
      <c r="C3" s="195"/>
      <c r="D3" s="195"/>
    </row>
    <row r="4" spans="1:4" ht="63.75" customHeight="1" x14ac:dyDescent="0.25">
      <c r="A4" s="55" t="s">
        <v>117</v>
      </c>
      <c r="B4" s="198" t="s">
        <v>275</v>
      </c>
      <c r="C4" s="198"/>
    </row>
    <row r="5" spans="1:4" x14ac:dyDescent="0.25">
      <c r="A5" s="55" t="s">
        <v>118</v>
      </c>
      <c r="B5" s="190" t="s">
        <v>641</v>
      </c>
      <c r="C5" s="190"/>
    </row>
    <row r="6" spans="1:4" x14ac:dyDescent="0.25">
      <c r="A6" s="55" t="s">
        <v>119</v>
      </c>
      <c r="B6" s="190" t="s">
        <v>642</v>
      </c>
      <c r="C6" s="190"/>
    </row>
    <row r="7" spans="1:4" x14ac:dyDescent="0.25">
      <c r="A7" s="194" t="s">
        <v>39</v>
      </c>
      <c r="B7" s="194"/>
      <c r="C7" s="194"/>
    </row>
    <row r="8" spans="1:4" ht="16.5" thickBot="1" x14ac:dyDescent="0.3"/>
    <row r="9" spans="1:4" ht="16.5" thickBot="1" x14ac:dyDescent="0.3">
      <c r="A9" s="27">
        <v>1</v>
      </c>
      <c r="B9" s="80" t="s">
        <v>40</v>
      </c>
      <c r="C9" s="80" t="s">
        <v>41</v>
      </c>
    </row>
    <row r="10" spans="1:4" ht="16.5" thickBot="1" x14ac:dyDescent="0.3">
      <c r="A10" s="29" t="s">
        <v>42</v>
      </c>
      <c r="B10" s="30" t="s">
        <v>43</v>
      </c>
      <c r="C10" s="43">
        <v>3037.75</v>
      </c>
    </row>
    <row r="11" spans="1:4" ht="16.5" thickBot="1" x14ac:dyDescent="0.3">
      <c r="A11" s="29" t="s">
        <v>44</v>
      </c>
      <c r="B11" s="30" t="s">
        <v>45</v>
      </c>
      <c r="C11" s="43"/>
    </row>
    <row r="12" spans="1:4" ht="16.5" thickBot="1" x14ac:dyDescent="0.3">
      <c r="A12" s="29" t="s">
        <v>46</v>
      </c>
      <c r="B12" s="30" t="s">
        <v>47</v>
      </c>
      <c r="C12" s="43"/>
    </row>
    <row r="13" spans="1:4" ht="16.5" thickBot="1" x14ac:dyDescent="0.3">
      <c r="A13" s="29" t="s">
        <v>48</v>
      </c>
      <c r="B13" s="30" t="s">
        <v>4</v>
      </c>
      <c r="C13" s="43"/>
    </row>
    <row r="14" spans="1:4" ht="16.5" thickBot="1" x14ac:dyDescent="0.3">
      <c r="A14" s="29" t="s">
        <v>49</v>
      </c>
      <c r="B14" s="30" t="s">
        <v>50</v>
      </c>
      <c r="C14" s="43"/>
    </row>
    <row r="15" spans="1:4" ht="16.5" thickBot="1" x14ac:dyDescent="0.3">
      <c r="A15" s="29" t="s">
        <v>51</v>
      </c>
      <c r="B15" s="30" t="s">
        <v>636</v>
      </c>
      <c r="C15" s="43">
        <f>C10*0.4</f>
        <v>1215.1000000000001</v>
      </c>
    </row>
    <row r="16" spans="1:4" ht="16.5" thickBot="1" x14ac:dyDescent="0.3">
      <c r="A16" s="29" t="s">
        <v>52</v>
      </c>
      <c r="B16" s="30" t="s">
        <v>53</v>
      </c>
      <c r="C16" s="43"/>
    </row>
    <row r="17" spans="1:4" ht="16.5" thickBot="1" x14ac:dyDescent="0.3">
      <c r="A17" s="183" t="s">
        <v>5</v>
      </c>
      <c r="B17" s="184"/>
      <c r="C17" s="62">
        <f>SUM(C10:C16)</f>
        <v>4252.8500000000004</v>
      </c>
    </row>
    <row r="20" spans="1:4" x14ac:dyDescent="0.25">
      <c r="A20" s="185" t="s">
        <v>54</v>
      </c>
      <c r="B20" s="185"/>
      <c r="C20" s="185"/>
    </row>
    <row r="21" spans="1:4" x14ac:dyDescent="0.25">
      <c r="A21" s="26"/>
    </row>
    <row r="22" spans="1:4" x14ac:dyDescent="0.25">
      <c r="A22" s="186" t="s">
        <v>55</v>
      </c>
      <c r="B22" s="186"/>
      <c r="C22" s="186"/>
    </row>
    <row r="23" spans="1:4" ht="16.5" thickBot="1" x14ac:dyDescent="0.3"/>
    <row r="24" spans="1:4" ht="16.5" thickBot="1" x14ac:dyDescent="0.3">
      <c r="A24" s="27" t="s">
        <v>56</v>
      </c>
      <c r="B24" s="80" t="s">
        <v>57</v>
      </c>
      <c r="C24" s="80" t="s">
        <v>63</v>
      </c>
      <c r="D24" s="80" t="s">
        <v>41</v>
      </c>
    </row>
    <row r="25" spans="1:4" ht="16.5" thickBot="1" x14ac:dyDescent="0.3">
      <c r="A25" s="29" t="s">
        <v>42</v>
      </c>
      <c r="B25" s="58" t="s">
        <v>58</v>
      </c>
      <c r="C25" s="54">
        <f>1/12</f>
        <v>8.3333333333333329E-2</v>
      </c>
      <c r="D25" s="59">
        <f>C$17*C25</f>
        <v>354.4041666666667</v>
      </c>
    </row>
    <row r="26" spans="1:4" ht="16.5" thickBot="1" x14ac:dyDescent="0.3">
      <c r="A26" s="29" t="s">
        <v>44</v>
      </c>
      <c r="B26" s="56" t="s">
        <v>59</v>
      </c>
      <c r="C26" s="60">
        <v>0.1111</v>
      </c>
      <c r="D26" s="61">
        <f>C$17*C26</f>
        <v>472.49163500000003</v>
      </c>
    </row>
    <row r="27" spans="1:4" ht="16.5" thickBot="1" x14ac:dyDescent="0.3">
      <c r="A27" s="183" t="s">
        <v>5</v>
      </c>
      <c r="B27" s="184"/>
      <c r="C27" s="63">
        <f>SUM(C25:C26)</f>
        <v>0.19443333333333335</v>
      </c>
      <c r="D27" s="64">
        <f>C$17*C27</f>
        <v>826.89580166666678</v>
      </c>
    </row>
    <row r="30" spans="1:4" ht="32.25" customHeight="1" x14ac:dyDescent="0.25">
      <c r="A30" s="189" t="s">
        <v>60</v>
      </c>
      <c r="B30" s="189"/>
      <c r="C30" s="189"/>
      <c r="D30" s="189"/>
    </row>
    <row r="31" spans="1:4" ht="16.5" thickBot="1" x14ac:dyDescent="0.3"/>
    <row r="32" spans="1:4" ht="16.5" thickBot="1" x14ac:dyDescent="0.3">
      <c r="A32" s="27" t="s">
        <v>61</v>
      </c>
      <c r="B32" s="80" t="s">
        <v>62</v>
      </c>
      <c r="C32" s="80" t="s">
        <v>63</v>
      </c>
      <c r="D32" s="80" t="s">
        <v>41</v>
      </c>
    </row>
    <row r="33" spans="1:4" ht="16.5" thickBot="1" x14ac:dyDescent="0.3">
      <c r="A33" s="29" t="s">
        <v>42</v>
      </c>
      <c r="B33" s="30" t="s">
        <v>64</v>
      </c>
      <c r="C33" s="32">
        <v>0.2</v>
      </c>
      <c r="D33" s="61">
        <f t="shared" ref="D33:D41" si="0">(D$27+C$17)*C33</f>
        <v>1015.9491603333335</v>
      </c>
    </row>
    <row r="34" spans="1:4" ht="16.5" thickBot="1" x14ac:dyDescent="0.3">
      <c r="A34" s="29" t="s">
        <v>44</v>
      </c>
      <c r="B34" s="30" t="s">
        <v>65</v>
      </c>
      <c r="C34" s="32">
        <v>2.5000000000000001E-2</v>
      </c>
      <c r="D34" s="61">
        <f t="shared" si="0"/>
        <v>126.99364504166668</v>
      </c>
    </row>
    <row r="35" spans="1:4" ht="16.5" thickBot="1" x14ac:dyDescent="0.3">
      <c r="A35" s="29" t="s">
        <v>46</v>
      </c>
      <c r="B35" s="30" t="s">
        <v>66</v>
      </c>
      <c r="C35" s="166">
        <v>0.01</v>
      </c>
      <c r="D35" s="61">
        <f t="shared" si="0"/>
        <v>50.797458016666667</v>
      </c>
    </row>
    <row r="36" spans="1:4" ht="16.5" thickBot="1" x14ac:dyDescent="0.3">
      <c r="A36" s="29" t="s">
        <v>48</v>
      </c>
      <c r="B36" s="30" t="s">
        <v>67</v>
      </c>
      <c r="C36" s="32">
        <v>1.4999999999999999E-2</v>
      </c>
      <c r="D36" s="61">
        <f t="shared" si="0"/>
        <v>76.196187025</v>
      </c>
    </row>
    <row r="37" spans="1:4" ht="16.5" thickBot="1" x14ac:dyDescent="0.3">
      <c r="A37" s="29" t="s">
        <v>49</v>
      </c>
      <c r="B37" s="30" t="s">
        <v>68</v>
      </c>
      <c r="C37" s="32">
        <v>0.01</v>
      </c>
      <c r="D37" s="61">
        <f t="shared" si="0"/>
        <v>50.797458016666667</v>
      </c>
    </row>
    <row r="38" spans="1:4" ht="16.5" thickBot="1" x14ac:dyDescent="0.3">
      <c r="A38" s="29" t="s">
        <v>51</v>
      </c>
      <c r="B38" s="30" t="s">
        <v>7</v>
      </c>
      <c r="C38" s="32">
        <v>6.0000000000000001E-3</v>
      </c>
      <c r="D38" s="61">
        <f t="shared" si="0"/>
        <v>30.478474810000002</v>
      </c>
    </row>
    <row r="39" spans="1:4" ht="16.5" thickBot="1" x14ac:dyDescent="0.3">
      <c r="A39" s="29" t="s">
        <v>52</v>
      </c>
      <c r="B39" s="30" t="s">
        <v>8</v>
      </c>
      <c r="C39" s="32">
        <v>2E-3</v>
      </c>
      <c r="D39" s="61">
        <f t="shared" si="0"/>
        <v>10.159491603333334</v>
      </c>
    </row>
    <row r="40" spans="1:4" ht="16.5" thickBot="1" x14ac:dyDescent="0.3">
      <c r="A40" s="29" t="s">
        <v>69</v>
      </c>
      <c r="B40" s="30" t="s">
        <v>9</v>
      </c>
      <c r="C40" s="32">
        <v>0.08</v>
      </c>
      <c r="D40" s="61">
        <f t="shared" si="0"/>
        <v>406.37966413333334</v>
      </c>
    </row>
    <row r="41" spans="1:4" ht="16.5" thickBot="1" x14ac:dyDescent="0.3">
      <c r="A41" s="183" t="s">
        <v>70</v>
      </c>
      <c r="B41" s="184"/>
      <c r="C41" s="32">
        <f>SUM(C33:C40)</f>
        <v>0.34800000000000003</v>
      </c>
      <c r="D41" s="61">
        <f t="shared" si="0"/>
        <v>1767.7515389800003</v>
      </c>
    </row>
    <row r="44" spans="1:4" x14ac:dyDescent="0.25">
      <c r="A44" s="186" t="s">
        <v>71</v>
      </c>
      <c r="B44" s="186"/>
      <c r="C44" s="186"/>
    </row>
    <row r="45" spans="1:4" ht="16.5" thickBot="1" x14ac:dyDescent="0.3"/>
    <row r="46" spans="1:4" ht="16.5" thickBot="1" x14ac:dyDescent="0.3">
      <c r="A46" s="27" t="s">
        <v>72</v>
      </c>
      <c r="B46" s="80" t="s">
        <v>73</v>
      </c>
      <c r="C46" s="80" t="s">
        <v>41</v>
      </c>
    </row>
    <row r="47" spans="1:4" ht="16.5" thickBot="1" x14ac:dyDescent="0.3">
      <c r="A47" s="29" t="s">
        <v>42</v>
      </c>
      <c r="B47" s="30" t="s">
        <v>74</v>
      </c>
      <c r="C47" s="48">
        <v>0</v>
      </c>
    </row>
    <row r="48" spans="1:4" ht="16.5" thickBot="1" x14ac:dyDescent="0.3">
      <c r="A48" s="29" t="s">
        <v>44</v>
      </c>
      <c r="B48" s="30" t="s">
        <v>120</v>
      </c>
      <c r="C48" s="43">
        <f>Encarregados!C48</f>
        <v>635.14</v>
      </c>
    </row>
    <row r="49" spans="1:3" ht="16.5" thickBot="1" x14ac:dyDescent="0.3">
      <c r="A49" s="29" t="s">
        <v>46</v>
      </c>
      <c r="B49" s="30" t="s">
        <v>131</v>
      </c>
      <c r="C49" s="43">
        <v>0</v>
      </c>
    </row>
    <row r="50" spans="1:3" ht="16.5" thickBot="1" x14ac:dyDescent="0.3">
      <c r="A50" s="71" t="s">
        <v>48</v>
      </c>
      <c r="B50" s="70" t="s">
        <v>121</v>
      </c>
      <c r="C50" s="43">
        <v>0</v>
      </c>
    </row>
    <row r="51" spans="1:3" ht="16.5" thickBot="1" x14ac:dyDescent="0.3">
      <c r="A51" s="71" t="s">
        <v>49</v>
      </c>
      <c r="B51" s="57" t="s">
        <v>122</v>
      </c>
      <c r="C51" s="43">
        <v>0</v>
      </c>
    </row>
    <row r="52" spans="1:3" ht="16.5" thickBot="1" x14ac:dyDescent="0.3">
      <c r="A52" s="196" t="s">
        <v>5</v>
      </c>
      <c r="B52" s="197"/>
      <c r="C52" s="43">
        <f>SUM(C47:C50)</f>
        <v>635.14</v>
      </c>
    </row>
    <row r="55" spans="1:3" x14ac:dyDescent="0.25">
      <c r="A55" s="186" t="s">
        <v>75</v>
      </c>
      <c r="B55" s="186"/>
      <c r="C55" s="186"/>
    </row>
    <row r="56" spans="1:3" ht="16.5" thickBot="1" x14ac:dyDescent="0.3"/>
    <row r="57" spans="1:3" ht="16.5" thickBot="1" x14ac:dyDescent="0.3">
      <c r="A57" s="27">
        <v>2</v>
      </c>
      <c r="B57" s="80" t="s">
        <v>76</v>
      </c>
      <c r="C57" s="80" t="s">
        <v>41</v>
      </c>
    </row>
    <row r="58" spans="1:3" ht="16.5" thickBot="1" x14ac:dyDescent="0.3">
      <c r="A58" s="29" t="s">
        <v>56</v>
      </c>
      <c r="B58" s="30" t="s">
        <v>57</v>
      </c>
      <c r="C58" s="43">
        <f>D27</f>
        <v>826.89580166666678</v>
      </c>
    </row>
    <row r="59" spans="1:3" ht="16.5" thickBot="1" x14ac:dyDescent="0.3">
      <c r="A59" s="29" t="s">
        <v>61</v>
      </c>
      <c r="B59" s="30" t="s">
        <v>62</v>
      </c>
      <c r="C59" s="43">
        <f>D41</f>
        <v>1767.7515389800003</v>
      </c>
    </row>
    <row r="60" spans="1:3" ht="16.5" thickBot="1" x14ac:dyDescent="0.3">
      <c r="A60" s="29" t="s">
        <v>72</v>
      </c>
      <c r="B60" s="30" t="s">
        <v>73</v>
      </c>
      <c r="C60" s="43">
        <f>C52</f>
        <v>635.14</v>
      </c>
    </row>
    <row r="61" spans="1:3" ht="16.5" thickBot="1" x14ac:dyDescent="0.3">
      <c r="A61" s="183" t="s">
        <v>5</v>
      </c>
      <c r="B61" s="184"/>
      <c r="C61" s="43">
        <f>SUM(C58:C60)</f>
        <v>3229.787340646667</v>
      </c>
    </row>
    <row r="62" spans="1:3" x14ac:dyDescent="0.25">
      <c r="A62" s="6"/>
    </row>
    <row r="64" spans="1:3" x14ac:dyDescent="0.25">
      <c r="A64" s="185" t="s">
        <v>77</v>
      </c>
      <c r="B64" s="185"/>
      <c r="C64" s="185"/>
    </row>
    <row r="65" spans="1:4" ht="16.5" thickBot="1" x14ac:dyDescent="0.3"/>
    <row r="66" spans="1:4" ht="16.5" thickBot="1" x14ac:dyDescent="0.3">
      <c r="A66" s="27">
        <v>3</v>
      </c>
      <c r="B66" s="80" t="s">
        <v>78</v>
      </c>
      <c r="C66" s="80" t="s">
        <v>63</v>
      </c>
      <c r="D66" s="80" t="s">
        <v>41</v>
      </c>
    </row>
    <row r="67" spans="1:4" ht="16.5" thickBot="1" x14ac:dyDescent="0.3">
      <c r="A67" s="29" t="s">
        <v>42</v>
      </c>
      <c r="B67" s="33" t="s">
        <v>79</v>
      </c>
      <c r="C67" s="51">
        <v>4.1999999999999997E-3</v>
      </c>
      <c r="D67" s="43">
        <f>(C$17)*C67</f>
        <v>17.861969999999999</v>
      </c>
    </row>
    <row r="68" spans="1:4" ht="16.5" thickBot="1" x14ac:dyDescent="0.3">
      <c r="A68" s="29" t="s">
        <v>44</v>
      </c>
      <c r="B68" s="49" t="s">
        <v>80</v>
      </c>
      <c r="C68" s="52">
        <f>C67*8%</f>
        <v>3.3599999999999998E-4</v>
      </c>
      <c r="D68" s="43">
        <f t="shared" ref="D68:D73" si="1">(C$17)*C68</f>
        <v>1.4289575999999999</v>
      </c>
    </row>
    <row r="69" spans="1:4" ht="16.5" thickBot="1" x14ac:dyDescent="0.3">
      <c r="A69" s="29" t="s">
        <v>46</v>
      </c>
      <c r="B69" s="33" t="s">
        <v>81</v>
      </c>
      <c r="C69" s="50">
        <v>4.3499999999999997E-2</v>
      </c>
      <c r="D69" s="43">
        <f t="shared" si="1"/>
        <v>184.998975</v>
      </c>
    </row>
    <row r="70" spans="1:4" ht="16.5" thickBot="1" x14ac:dyDescent="0.3">
      <c r="A70" s="29" t="s">
        <v>48</v>
      </c>
      <c r="B70" s="33" t="s">
        <v>82</v>
      </c>
      <c r="C70" s="53">
        <v>1.9400000000000001E-2</v>
      </c>
      <c r="D70" s="43">
        <f t="shared" si="1"/>
        <v>82.505290000000016</v>
      </c>
    </row>
    <row r="71" spans="1:4" ht="16.5" thickBot="1" x14ac:dyDescent="0.3">
      <c r="A71" s="29" t="s">
        <v>49</v>
      </c>
      <c r="B71" s="33" t="s">
        <v>83</v>
      </c>
      <c r="C71" s="50">
        <v>7.0000000000000001E-3</v>
      </c>
      <c r="D71" s="43">
        <f t="shared" si="1"/>
        <v>29.769950000000001</v>
      </c>
    </row>
    <row r="72" spans="1:4" ht="16.5" thickBot="1" x14ac:dyDescent="0.3">
      <c r="A72" s="29" t="s">
        <v>51</v>
      </c>
      <c r="B72" s="33" t="s">
        <v>84</v>
      </c>
      <c r="C72" s="50">
        <v>8.0000000000000004E-4</v>
      </c>
      <c r="D72" s="43">
        <f t="shared" si="1"/>
        <v>3.4022800000000006</v>
      </c>
    </row>
    <row r="73" spans="1:4" ht="16.5" thickBot="1" x14ac:dyDescent="0.3">
      <c r="A73" s="183" t="s">
        <v>5</v>
      </c>
      <c r="B73" s="184"/>
      <c r="C73" s="50">
        <f>SUM(C67:C72)</f>
        <v>7.5235999999999997E-2</v>
      </c>
      <c r="D73" s="43">
        <f t="shared" si="1"/>
        <v>319.96742260000002</v>
      </c>
    </row>
    <row r="76" spans="1:4" x14ac:dyDescent="0.25">
      <c r="A76" s="185" t="s">
        <v>85</v>
      </c>
      <c r="B76" s="185"/>
      <c r="C76" s="185"/>
    </row>
    <row r="79" spans="1:4" x14ac:dyDescent="0.25">
      <c r="A79" s="186" t="s">
        <v>86</v>
      </c>
      <c r="B79" s="186"/>
      <c r="C79" s="186"/>
    </row>
    <row r="80" spans="1:4" ht="16.5" thickBot="1" x14ac:dyDescent="0.3">
      <c r="A80" s="26"/>
    </row>
    <row r="81" spans="1:4" ht="16.5" thickBot="1" x14ac:dyDescent="0.3">
      <c r="A81" s="27" t="s">
        <v>87</v>
      </c>
      <c r="B81" s="80" t="s">
        <v>88</v>
      </c>
      <c r="C81" s="80" t="s">
        <v>63</v>
      </c>
      <c r="D81" s="80" t="s">
        <v>41</v>
      </c>
    </row>
    <row r="82" spans="1:4" ht="16.5" thickBot="1" x14ac:dyDescent="0.3">
      <c r="A82" s="29" t="s">
        <v>42</v>
      </c>
      <c r="B82" s="30" t="s">
        <v>6</v>
      </c>
      <c r="C82" s="50">
        <v>8.3299999999999999E-2</v>
      </c>
      <c r="D82" s="43">
        <f>(C$17)*C82</f>
        <v>354.262405</v>
      </c>
    </row>
    <row r="83" spans="1:4" ht="16.5" thickBot="1" x14ac:dyDescent="0.3">
      <c r="A83" s="29" t="s">
        <v>44</v>
      </c>
      <c r="B83" s="30" t="s">
        <v>88</v>
      </c>
      <c r="C83" s="50">
        <v>8.2000000000000007E-3</v>
      </c>
      <c r="D83" s="43">
        <f t="shared" ref="D83:D88" si="2">(C$17)*C83</f>
        <v>34.873370000000008</v>
      </c>
    </row>
    <row r="84" spans="1:4" ht="16.5" thickBot="1" x14ac:dyDescent="0.3">
      <c r="A84" s="29" t="s">
        <v>46</v>
      </c>
      <c r="B84" s="30" t="s">
        <v>89</v>
      </c>
      <c r="C84" s="50">
        <v>2.0000000000000001E-4</v>
      </c>
      <c r="D84" s="43">
        <f t="shared" si="2"/>
        <v>0.85057000000000016</v>
      </c>
    </row>
    <row r="85" spans="1:4" ht="16.5" thickBot="1" x14ac:dyDescent="0.3">
      <c r="A85" s="29" t="s">
        <v>48</v>
      </c>
      <c r="B85" s="30" t="s">
        <v>90</v>
      </c>
      <c r="C85" s="50">
        <v>2.9999999999999997E-4</v>
      </c>
      <c r="D85" s="43">
        <f t="shared" si="2"/>
        <v>1.275855</v>
      </c>
    </row>
    <row r="86" spans="1:4" ht="16.5" thickBot="1" x14ac:dyDescent="0.3">
      <c r="A86" s="29" t="s">
        <v>49</v>
      </c>
      <c r="B86" s="30" t="s">
        <v>91</v>
      </c>
      <c r="C86" s="50">
        <v>6.1000000000000004E-3</v>
      </c>
      <c r="D86" s="43">
        <f t="shared" si="2"/>
        <v>25.942385000000005</v>
      </c>
    </row>
    <row r="87" spans="1:4" ht="16.5" thickBot="1" x14ac:dyDescent="0.3">
      <c r="A87" s="29" t="s">
        <v>51</v>
      </c>
      <c r="B87" s="30" t="s">
        <v>53</v>
      </c>
      <c r="C87" s="50">
        <v>0</v>
      </c>
      <c r="D87" s="43">
        <f t="shared" si="2"/>
        <v>0</v>
      </c>
    </row>
    <row r="88" spans="1:4" ht="16.5" thickBot="1" x14ac:dyDescent="0.3">
      <c r="A88" s="183" t="s">
        <v>70</v>
      </c>
      <c r="B88" s="184"/>
      <c r="C88" s="50">
        <v>9.8100000000000007E-2</v>
      </c>
      <c r="D88" s="43">
        <f t="shared" si="2"/>
        <v>417.20458500000007</v>
      </c>
    </row>
    <row r="91" spans="1:4" x14ac:dyDescent="0.25">
      <c r="A91" s="186" t="s">
        <v>92</v>
      </c>
      <c r="B91" s="186"/>
      <c r="C91" s="186"/>
    </row>
    <row r="92" spans="1:4" ht="16.5" thickBot="1" x14ac:dyDescent="0.3">
      <c r="A92" s="26"/>
    </row>
    <row r="93" spans="1:4" ht="16.5" thickBot="1" x14ac:dyDescent="0.3">
      <c r="A93" s="27" t="s">
        <v>93</v>
      </c>
      <c r="B93" s="80" t="s">
        <v>94</v>
      </c>
      <c r="C93" s="80" t="s">
        <v>41</v>
      </c>
    </row>
    <row r="94" spans="1:4" ht="16.5" thickBot="1" x14ac:dyDescent="0.3">
      <c r="A94" s="29" t="s">
        <v>42</v>
      </c>
      <c r="B94" s="30" t="s">
        <v>110</v>
      </c>
      <c r="C94" s="42"/>
    </row>
    <row r="95" spans="1:4" ht="16.5" thickBot="1" x14ac:dyDescent="0.3">
      <c r="A95" s="183" t="s">
        <v>5</v>
      </c>
      <c r="B95" s="184"/>
      <c r="C95" s="42"/>
    </row>
    <row r="98" spans="1:3" x14ac:dyDescent="0.25">
      <c r="A98" s="186" t="s">
        <v>95</v>
      </c>
      <c r="B98" s="186"/>
      <c r="C98" s="186"/>
    </row>
    <row r="99" spans="1:3" ht="16.5" thickBot="1" x14ac:dyDescent="0.3">
      <c r="A99" s="26"/>
    </row>
    <row r="100" spans="1:3" ht="16.5" thickBot="1" x14ac:dyDescent="0.3">
      <c r="A100" s="27">
        <v>4</v>
      </c>
      <c r="B100" s="80" t="s">
        <v>96</v>
      </c>
      <c r="C100" s="80" t="s">
        <v>41</v>
      </c>
    </row>
    <row r="101" spans="1:3" ht="16.5" thickBot="1" x14ac:dyDescent="0.3">
      <c r="A101" s="29" t="s">
        <v>87</v>
      </c>
      <c r="B101" s="30" t="s">
        <v>88</v>
      </c>
      <c r="C101" s="43">
        <f>D88</f>
        <v>417.20458500000007</v>
      </c>
    </row>
    <row r="102" spans="1:3" ht="16.5" thickBot="1" x14ac:dyDescent="0.3">
      <c r="A102" s="29" t="s">
        <v>93</v>
      </c>
      <c r="B102" s="30" t="s">
        <v>94</v>
      </c>
      <c r="C102" s="43">
        <f>C95</f>
        <v>0</v>
      </c>
    </row>
    <row r="103" spans="1:3" ht="16.5" thickBot="1" x14ac:dyDescent="0.3">
      <c r="A103" s="183" t="s">
        <v>5</v>
      </c>
      <c r="B103" s="184"/>
      <c r="C103" s="62">
        <f>C101+C102</f>
        <v>417.20458500000007</v>
      </c>
    </row>
    <row r="106" spans="1:3" x14ac:dyDescent="0.25">
      <c r="A106" s="185" t="s">
        <v>97</v>
      </c>
      <c r="B106" s="185"/>
      <c r="C106" s="185"/>
    </row>
    <row r="107" spans="1:3" ht="16.5" thickBot="1" x14ac:dyDescent="0.3"/>
    <row r="108" spans="1:3" ht="16.5" thickBot="1" x14ac:dyDescent="0.3">
      <c r="A108" s="27">
        <v>5</v>
      </c>
      <c r="B108" s="34" t="s">
        <v>24</v>
      </c>
      <c r="C108" s="80" t="s">
        <v>41</v>
      </c>
    </row>
    <row r="109" spans="1:3" ht="16.5" thickBot="1" x14ac:dyDescent="0.3">
      <c r="A109" s="29" t="s">
        <v>42</v>
      </c>
      <c r="B109" s="30" t="s">
        <v>98</v>
      </c>
      <c r="C109" s="43">
        <f>'Planilha de Apoio'!C42</f>
        <v>86.948888888888902</v>
      </c>
    </row>
    <row r="110" spans="1:3" ht="16.5" thickBot="1" x14ac:dyDescent="0.3">
      <c r="A110" s="29" t="s">
        <v>44</v>
      </c>
      <c r="B110" s="30" t="s">
        <v>99</v>
      </c>
      <c r="C110" s="43">
        <v>0</v>
      </c>
    </row>
    <row r="111" spans="1:3" ht="16.5" thickBot="1" x14ac:dyDescent="0.3">
      <c r="A111" s="29" t="s">
        <v>46</v>
      </c>
      <c r="B111" s="30" t="s">
        <v>100</v>
      </c>
      <c r="C111" s="43">
        <v>0</v>
      </c>
    </row>
    <row r="112" spans="1:3" ht="16.5" thickBot="1" x14ac:dyDescent="0.3">
      <c r="A112" s="29" t="s">
        <v>48</v>
      </c>
      <c r="B112" s="30" t="s">
        <v>53</v>
      </c>
      <c r="C112" s="43">
        <v>0</v>
      </c>
    </row>
    <row r="113" spans="1:4" ht="16.5" thickBot="1" x14ac:dyDescent="0.3">
      <c r="A113" s="183" t="s">
        <v>70</v>
      </c>
      <c r="B113" s="184"/>
      <c r="C113" s="43">
        <f>SUM(C109:C112)</f>
        <v>86.948888888888902</v>
      </c>
    </row>
    <row r="116" spans="1:4" x14ac:dyDescent="0.25">
      <c r="A116" s="185" t="s">
        <v>101</v>
      </c>
      <c r="B116" s="185"/>
      <c r="C116" s="185"/>
    </row>
    <row r="117" spans="1:4" ht="16.5" thickBot="1" x14ac:dyDescent="0.3"/>
    <row r="118" spans="1:4" ht="16.5" thickBot="1" x14ac:dyDescent="0.3">
      <c r="A118" s="27">
        <v>6</v>
      </c>
      <c r="B118" s="34" t="s">
        <v>25</v>
      </c>
      <c r="C118" s="80" t="s">
        <v>63</v>
      </c>
      <c r="D118" s="80" t="s">
        <v>41</v>
      </c>
    </row>
    <row r="119" spans="1:4" ht="16.5" thickBot="1" x14ac:dyDescent="0.3">
      <c r="A119" s="29" t="s">
        <v>42</v>
      </c>
      <c r="B119" s="66" t="s">
        <v>26</v>
      </c>
      <c r="C119" s="165">
        <v>9.0999999999999998E-2</v>
      </c>
      <c r="D119" s="68">
        <f>C119*C138</f>
        <v>755.91499957933547</v>
      </c>
    </row>
    <row r="120" spans="1:4" ht="16.5" thickBot="1" x14ac:dyDescent="0.3">
      <c r="A120" s="29" t="s">
        <v>44</v>
      </c>
      <c r="B120" s="66" t="s">
        <v>28</v>
      </c>
      <c r="C120" s="165">
        <v>5.8999999999999997E-2</v>
      </c>
      <c r="D120" s="68">
        <f>C120*(C138+D119)</f>
        <v>534.69772096617851</v>
      </c>
    </row>
    <row r="121" spans="1:4" ht="16.5" thickBot="1" x14ac:dyDescent="0.3">
      <c r="A121" s="29" t="s">
        <v>46</v>
      </c>
      <c r="B121" s="30" t="s">
        <v>27</v>
      </c>
      <c r="C121" s="32"/>
      <c r="D121" s="43">
        <f>(C$17+C$61+D$73+C$103+C$113)*C121</f>
        <v>0</v>
      </c>
    </row>
    <row r="122" spans="1:4" ht="16.5" thickBot="1" x14ac:dyDescent="0.3">
      <c r="A122" s="29"/>
      <c r="B122" s="66" t="s">
        <v>114</v>
      </c>
      <c r="C122" s="67">
        <f>C123+C124</f>
        <v>9.2499999999999999E-2</v>
      </c>
      <c r="D122" s="68">
        <f>C122*(C$138+D$119+D$120)</f>
        <v>887.75681358549889</v>
      </c>
    </row>
    <row r="123" spans="1:4" ht="16.5" thickBot="1" x14ac:dyDescent="0.3">
      <c r="A123" s="29"/>
      <c r="B123" s="30" t="s">
        <v>112</v>
      </c>
      <c r="C123" s="166">
        <v>7.5999999999999998E-2</v>
      </c>
      <c r="D123" s="43">
        <f>C123*(C$138+D$119+D$120)</f>
        <v>729.40019278376121</v>
      </c>
    </row>
    <row r="124" spans="1:4" ht="16.5" thickBot="1" x14ac:dyDescent="0.3">
      <c r="A124" s="29"/>
      <c r="B124" s="30" t="s">
        <v>113</v>
      </c>
      <c r="C124" s="166">
        <v>1.6500000000000001E-2</v>
      </c>
      <c r="D124" s="43">
        <f>C124*(C$138+D$119+D$120)</f>
        <v>158.35662080173765</v>
      </c>
    </row>
    <row r="125" spans="1:4" ht="16.5" thickBot="1" x14ac:dyDescent="0.3">
      <c r="A125" s="29"/>
      <c r="B125" s="66" t="s">
        <v>115</v>
      </c>
      <c r="C125" s="67">
        <v>0</v>
      </c>
      <c r="D125" s="68">
        <f>C125*(C$138+D$119+D$120)</f>
        <v>0</v>
      </c>
    </row>
    <row r="126" spans="1:4" ht="16.5" thickBot="1" x14ac:dyDescent="0.3">
      <c r="A126" s="29"/>
      <c r="B126" s="66" t="s">
        <v>116</v>
      </c>
      <c r="C126" s="166">
        <v>0.03</v>
      </c>
      <c r="D126" s="68">
        <f>C126*(C$138+D$119+D$120)</f>
        <v>287.92112873043203</v>
      </c>
    </row>
    <row r="127" spans="1:4" ht="16.5" thickBot="1" x14ac:dyDescent="0.3">
      <c r="A127" s="187" t="s">
        <v>70</v>
      </c>
      <c r="B127" s="188"/>
      <c r="C127" s="67">
        <f>C119+C120+C122+C125+C126</f>
        <v>0.27249999999999996</v>
      </c>
      <c r="D127" s="68">
        <f>D119+D120+D122+D125+D126</f>
        <v>2466.2906628614451</v>
      </c>
    </row>
    <row r="130" spans="1:3" x14ac:dyDescent="0.25">
      <c r="A130" s="185" t="s">
        <v>102</v>
      </c>
      <c r="B130" s="185"/>
      <c r="C130" s="185"/>
    </row>
    <row r="131" spans="1:3" ht="16.5" thickBot="1" x14ac:dyDescent="0.3"/>
    <row r="132" spans="1:3" ht="16.5" thickBot="1" x14ac:dyDescent="0.3">
      <c r="A132" s="27"/>
      <c r="B132" s="80" t="s">
        <v>103</v>
      </c>
      <c r="C132" s="80" t="s">
        <v>41</v>
      </c>
    </row>
    <row r="133" spans="1:3" ht="16.5" thickBot="1" x14ac:dyDescent="0.3">
      <c r="A133" s="36" t="s">
        <v>42</v>
      </c>
      <c r="B133" s="30" t="s">
        <v>39</v>
      </c>
      <c r="C133" s="65">
        <f>C17</f>
        <v>4252.8500000000004</v>
      </c>
    </row>
    <row r="134" spans="1:3" ht="16.5" thickBot="1" x14ac:dyDescent="0.3">
      <c r="A134" s="36" t="s">
        <v>44</v>
      </c>
      <c r="B134" s="30" t="s">
        <v>54</v>
      </c>
      <c r="C134" s="65">
        <f>C61</f>
        <v>3229.787340646667</v>
      </c>
    </row>
    <row r="135" spans="1:3" ht="16.5" thickBot="1" x14ac:dyDescent="0.3">
      <c r="A135" s="36" t="s">
        <v>46</v>
      </c>
      <c r="B135" s="30" t="s">
        <v>77</v>
      </c>
      <c r="C135" s="65">
        <f>D73</f>
        <v>319.96742260000002</v>
      </c>
    </row>
    <row r="136" spans="1:3" ht="16.5" thickBot="1" x14ac:dyDescent="0.3">
      <c r="A136" s="36" t="s">
        <v>48</v>
      </c>
      <c r="B136" s="30" t="s">
        <v>85</v>
      </c>
      <c r="C136" s="65">
        <f>D88</f>
        <v>417.20458500000007</v>
      </c>
    </row>
    <row r="137" spans="1:3" ht="16.5" thickBot="1" x14ac:dyDescent="0.3">
      <c r="A137" s="36" t="s">
        <v>49</v>
      </c>
      <c r="B137" s="30" t="s">
        <v>97</v>
      </c>
      <c r="C137" s="65">
        <f>C113</f>
        <v>86.948888888888902</v>
      </c>
    </row>
    <row r="138" spans="1:3" ht="16.5" customHeight="1" thickBot="1" x14ac:dyDescent="0.3">
      <c r="A138" s="183" t="s">
        <v>104</v>
      </c>
      <c r="B138" s="184"/>
      <c r="C138" s="65">
        <f>SUM(C133:C137)</f>
        <v>8306.7582371355547</v>
      </c>
    </row>
    <row r="139" spans="1:3" ht="16.5" thickBot="1" x14ac:dyDescent="0.3">
      <c r="A139" s="36" t="s">
        <v>51</v>
      </c>
      <c r="B139" s="30" t="s">
        <v>105</v>
      </c>
      <c r="C139" s="65">
        <f>D127</f>
        <v>2466.2906628614451</v>
      </c>
    </row>
    <row r="140" spans="1:3" ht="16.5" customHeight="1" thickBot="1" x14ac:dyDescent="0.3">
      <c r="A140" s="183" t="s">
        <v>106</v>
      </c>
      <c r="B140" s="184"/>
      <c r="C140" s="69">
        <f>C138+C139</f>
        <v>10773.048899997</v>
      </c>
    </row>
    <row r="142" spans="1:3" x14ac:dyDescent="0.25">
      <c r="B142" s="167" t="s">
        <v>281</v>
      </c>
      <c r="C142" s="168">
        <f>C140*12</f>
        <v>129276.586799964</v>
      </c>
    </row>
  </sheetData>
  <mergeCells count="33">
    <mergeCell ref="A30:D30"/>
    <mergeCell ref="A1:D1"/>
    <mergeCell ref="A2:D2"/>
    <mergeCell ref="A3:D3"/>
    <mergeCell ref="B4:C4"/>
    <mergeCell ref="B5:C5"/>
    <mergeCell ref="B6:C6"/>
    <mergeCell ref="A7:C7"/>
    <mergeCell ref="A17:B17"/>
    <mergeCell ref="A20:C20"/>
    <mergeCell ref="A22:C22"/>
    <mergeCell ref="A27:B27"/>
    <mergeCell ref="A95:B95"/>
    <mergeCell ref="A41:B41"/>
    <mergeCell ref="A44:C44"/>
    <mergeCell ref="A52:B52"/>
    <mergeCell ref="A55:C55"/>
    <mergeCell ref="A61:B61"/>
    <mergeCell ref="A64:C64"/>
    <mergeCell ref="A73:B73"/>
    <mergeCell ref="A76:C76"/>
    <mergeCell ref="A79:C79"/>
    <mergeCell ref="A88:B88"/>
    <mergeCell ref="A91:C91"/>
    <mergeCell ref="A130:C130"/>
    <mergeCell ref="A138:B138"/>
    <mergeCell ref="A140:B140"/>
    <mergeCell ref="A98:C98"/>
    <mergeCell ref="A103:B103"/>
    <mergeCell ref="A106:C106"/>
    <mergeCell ref="A113:B113"/>
    <mergeCell ref="A116:C116"/>
    <mergeCell ref="A127:B127"/>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topLeftCell="A24" workbookViewId="0">
      <selection activeCell="B37" sqref="B37"/>
    </sheetView>
  </sheetViews>
  <sheetFormatPr defaultRowHeight="15" x14ac:dyDescent="0.25"/>
  <cols>
    <col min="1" max="1" width="62.5703125" customWidth="1"/>
    <col min="2" max="2" width="16.140625" customWidth="1"/>
    <col min="3" max="3" width="17.7109375" customWidth="1"/>
  </cols>
  <sheetData>
    <row r="1" spans="1:3" ht="18.75" x14ac:dyDescent="0.25">
      <c r="A1" s="201" t="s">
        <v>168</v>
      </c>
      <c r="B1" s="201"/>
      <c r="C1" s="201"/>
    </row>
    <row r="2" spans="1:3" ht="31.5" x14ac:dyDescent="0.25">
      <c r="A2" s="124" t="s">
        <v>142</v>
      </c>
      <c r="B2" s="125" t="s">
        <v>143</v>
      </c>
      <c r="C2" s="149" t="s">
        <v>144</v>
      </c>
    </row>
    <row r="3" spans="1:3" ht="15.75" x14ac:dyDescent="0.25">
      <c r="A3" s="202" t="s">
        <v>200</v>
      </c>
      <c r="B3" s="202"/>
      <c r="C3" s="202"/>
    </row>
    <row r="4" spans="1:3" ht="15.75" x14ac:dyDescent="0.25">
      <c r="A4" s="205" t="s">
        <v>145</v>
      </c>
      <c r="B4" s="205"/>
      <c r="C4" s="144" t="s">
        <v>144</v>
      </c>
    </row>
    <row r="5" spans="1:3" ht="15.75" x14ac:dyDescent="0.25">
      <c r="A5" s="203" t="s">
        <v>201</v>
      </c>
      <c r="B5" s="203"/>
      <c r="C5" s="152">
        <v>3948.23</v>
      </c>
    </row>
    <row r="6" spans="1:3" ht="15.75" x14ac:dyDescent="0.25">
      <c r="A6" s="204" t="s">
        <v>202</v>
      </c>
      <c r="B6" s="204"/>
      <c r="C6" s="153">
        <v>3667.99</v>
      </c>
    </row>
    <row r="7" spans="1:3" ht="15.75" x14ac:dyDescent="0.25">
      <c r="A7" s="205" t="s">
        <v>167</v>
      </c>
      <c r="B7" s="205"/>
      <c r="C7" s="143">
        <f>SUM(C5:C6)</f>
        <v>7616.2199999999993</v>
      </c>
    </row>
    <row r="8" spans="1:3" ht="15.75" x14ac:dyDescent="0.25">
      <c r="A8" s="202" t="s">
        <v>169</v>
      </c>
      <c r="B8" s="202"/>
      <c r="C8" s="202"/>
    </row>
    <row r="9" spans="1:3" ht="15.75" x14ac:dyDescent="0.25">
      <c r="A9" s="205" t="s">
        <v>146</v>
      </c>
      <c r="B9" s="205"/>
      <c r="C9" s="144" t="s">
        <v>144</v>
      </c>
    </row>
    <row r="10" spans="1:3" ht="15.75" x14ac:dyDescent="0.25">
      <c r="A10" s="203" t="s">
        <v>147</v>
      </c>
      <c r="B10" s="203"/>
      <c r="C10" s="152">
        <v>450</v>
      </c>
    </row>
    <row r="11" spans="1:3" ht="15.75" x14ac:dyDescent="0.25">
      <c r="A11" s="203" t="s">
        <v>162</v>
      </c>
      <c r="B11" s="203"/>
      <c r="C11" s="152">
        <v>248.48</v>
      </c>
    </row>
    <row r="12" spans="1:3" ht="15.75" x14ac:dyDescent="0.25">
      <c r="A12" s="203" t="s">
        <v>148</v>
      </c>
      <c r="B12" s="203"/>
      <c r="C12" s="152">
        <v>0</v>
      </c>
    </row>
    <row r="13" spans="1:3" ht="15.75" x14ac:dyDescent="0.25">
      <c r="A13" s="204" t="s">
        <v>149</v>
      </c>
      <c r="B13" s="204"/>
      <c r="C13" s="153">
        <v>24.13</v>
      </c>
    </row>
    <row r="14" spans="1:3" ht="15.75" x14ac:dyDescent="0.25">
      <c r="A14" s="204" t="s">
        <v>163</v>
      </c>
      <c r="B14" s="204"/>
      <c r="C14" s="153">
        <v>319.07</v>
      </c>
    </row>
    <row r="15" spans="1:3" ht="15.75" x14ac:dyDescent="0.25">
      <c r="A15" s="204" t="s">
        <v>164</v>
      </c>
      <c r="B15" s="204"/>
      <c r="C15" s="153">
        <v>0</v>
      </c>
    </row>
    <row r="16" spans="1:3" ht="15.75" x14ac:dyDescent="0.25">
      <c r="A16" s="205" t="s">
        <v>167</v>
      </c>
      <c r="B16" s="205"/>
      <c r="C16" s="143">
        <f>SUM(C10:C15)</f>
        <v>1041.68</v>
      </c>
    </row>
    <row r="17" spans="1:3" ht="15.75" x14ac:dyDescent="0.25">
      <c r="A17" s="209" t="s">
        <v>206</v>
      </c>
      <c r="B17" s="209"/>
      <c r="C17" s="143">
        <f>C16+C7</f>
        <v>8657.9</v>
      </c>
    </row>
    <row r="18" spans="1:3" ht="15.75" x14ac:dyDescent="0.25">
      <c r="A18" s="209" t="s">
        <v>207</v>
      </c>
      <c r="B18" s="209"/>
      <c r="C18" s="143">
        <f>C17/22</f>
        <v>393.54090909090905</v>
      </c>
    </row>
    <row r="19" spans="1:3" ht="15.75" x14ac:dyDescent="0.25">
      <c r="A19" s="129" t="s">
        <v>150</v>
      </c>
      <c r="B19" s="131">
        <v>9.0999999999999998E-2</v>
      </c>
      <c r="C19" s="144">
        <f>B19*C18</f>
        <v>35.812222727272726</v>
      </c>
    </row>
    <row r="20" spans="1:3" ht="15.75" x14ac:dyDescent="0.25">
      <c r="A20" s="129" t="s">
        <v>151</v>
      </c>
      <c r="B20" s="131">
        <v>5.8999999999999997E-2</v>
      </c>
      <c r="C20" s="144">
        <f>B20*C18</f>
        <v>23.218913636363634</v>
      </c>
    </row>
    <row r="21" spans="1:3" ht="15.75" x14ac:dyDescent="0.25">
      <c r="A21" s="129" t="s">
        <v>152</v>
      </c>
      <c r="B21" s="122">
        <f>SUM(B22:B25)</f>
        <v>0.1225</v>
      </c>
      <c r="C21" s="145">
        <f>((C$17+C$19+C$20)/(1-($B$21)))*$B21</f>
        <v>1216.8935204610202</v>
      </c>
    </row>
    <row r="22" spans="1:3" ht="15.75" x14ac:dyDescent="0.25">
      <c r="A22" s="130" t="s">
        <v>153</v>
      </c>
      <c r="B22" s="174">
        <v>9.2499999999999999E-2</v>
      </c>
      <c r="C22" s="145">
        <f t="shared" ref="C22:C25" si="0">((C$17+C$19+C$20)/(1-($B$21)))*$B22</f>
        <v>918.87878075628066</v>
      </c>
    </row>
    <row r="23" spans="1:3" ht="15.75" x14ac:dyDescent="0.25">
      <c r="A23" s="123" t="s">
        <v>154</v>
      </c>
      <c r="B23" s="122">
        <v>0</v>
      </c>
      <c r="C23" s="139">
        <f t="shared" si="0"/>
        <v>0</v>
      </c>
    </row>
    <row r="24" spans="1:3" ht="15.75" x14ac:dyDescent="0.25">
      <c r="A24" s="123" t="s">
        <v>155</v>
      </c>
      <c r="B24" s="174">
        <v>0.03</v>
      </c>
      <c r="C24" s="139">
        <f t="shared" si="0"/>
        <v>298.01473970473967</v>
      </c>
    </row>
    <row r="25" spans="1:3" ht="15.75" x14ac:dyDescent="0.25">
      <c r="A25" s="123" t="s">
        <v>156</v>
      </c>
      <c r="B25" s="122">
        <v>0</v>
      </c>
      <c r="C25" s="139">
        <f t="shared" si="0"/>
        <v>0</v>
      </c>
    </row>
    <row r="26" spans="1:3" ht="15.75" x14ac:dyDescent="0.25">
      <c r="A26" s="208" t="s">
        <v>208</v>
      </c>
      <c r="B26" s="208"/>
      <c r="C26" s="150">
        <f>C18+C19+C20</f>
        <v>452.57204545454545</v>
      </c>
    </row>
    <row r="27" spans="1:3" ht="15.75" x14ac:dyDescent="0.25">
      <c r="A27" s="202" t="s">
        <v>209</v>
      </c>
      <c r="B27" s="202"/>
      <c r="C27" s="202"/>
    </row>
    <row r="28" spans="1:3" ht="15.75" x14ac:dyDescent="0.25">
      <c r="A28" s="205" t="s">
        <v>210</v>
      </c>
      <c r="B28" s="205"/>
      <c r="C28" s="144" t="s">
        <v>144</v>
      </c>
    </row>
    <row r="29" spans="1:3" ht="15.75" x14ac:dyDescent="0.25">
      <c r="A29" s="203" t="s">
        <v>211</v>
      </c>
      <c r="B29" s="203"/>
      <c r="C29" s="152">
        <v>150</v>
      </c>
    </row>
    <row r="30" spans="1:3" ht="15.75" x14ac:dyDescent="0.25">
      <c r="A30" s="205" t="s">
        <v>167</v>
      </c>
      <c r="B30" s="205"/>
      <c r="C30" s="143">
        <f>SUM(C29:C29)</f>
        <v>150</v>
      </c>
    </row>
    <row r="31" spans="1:3" ht="15.75" x14ac:dyDescent="0.25">
      <c r="A31" s="129" t="s">
        <v>150</v>
      </c>
      <c r="B31" s="131">
        <v>9.0999999999999998E-2</v>
      </c>
      <c r="C31" s="144">
        <f>B31*C30</f>
        <v>13.65</v>
      </c>
    </row>
    <row r="32" spans="1:3" ht="15.75" x14ac:dyDescent="0.25">
      <c r="A32" s="129" t="s">
        <v>151</v>
      </c>
      <c r="B32" s="131">
        <v>5.8999999999999997E-2</v>
      </c>
      <c r="C32" s="144">
        <f>B32*C30</f>
        <v>8.85</v>
      </c>
    </row>
    <row r="33" spans="1:3" ht="15.75" x14ac:dyDescent="0.25">
      <c r="A33" s="129" t="s">
        <v>152</v>
      </c>
      <c r="B33" s="132">
        <f>SUM(B34:B37)</f>
        <v>0.1225</v>
      </c>
      <c r="C33" s="145">
        <f>((C$30+C$31+C$32)/(1-($B$33)))*$B33</f>
        <v>24.081196581196583</v>
      </c>
    </row>
    <row r="34" spans="1:3" ht="15.75" x14ac:dyDescent="0.25">
      <c r="A34" s="130" t="s">
        <v>153</v>
      </c>
      <c r="B34" s="175">
        <v>9.2499999999999999E-2</v>
      </c>
      <c r="C34" s="145">
        <f t="shared" ref="C34:C37" si="1">((C$30+C$31+C$32)/(1-($B$33)))*$B34</f>
        <v>18.183760683760685</v>
      </c>
    </row>
    <row r="35" spans="1:3" ht="15.75" x14ac:dyDescent="0.25">
      <c r="A35" s="130" t="s">
        <v>154</v>
      </c>
      <c r="B35" s="132">
        <v>0</v>
      </c>
      <c r="C35" s="145">
        <f t="shared" si="1"/>
        <v>0</v>
      </c>
    </row>
    <row r="36" spans="1:3" ht="15.75" x14ac:dyDescent="0.25">
      <c r="A36" s="130" t="s">
        <v>155</v>
      </c>
      <c r="B36" s="175">
        <v>0.03</v>
      </c>
      <c r="C36" s="145">
        <f t="shared" si="1"/>
        <v>5.8974358974358978</v>
      </c>
    </row>
    <row r="37" spans="1:3" ht="15.75" x14ac:dyDescent="0.25">
      <c r="A37" s="130" t="s">
        <v>156</v>
      </c>
      <c r="B37" s="132">
        <v>0</v>
      </c>
      <c r="C37" s="145">
        <f t="shared" si="1"/>
        <v>0</v>
      </c>
    </row>
    <row r="38" spans="1:3" x14ac:dyDescent="0.25">
      <c r="A38" s="207" t="s">
        <v>212</v>
      </c>
      <c r="B38" s="207"/>
      <c r="C38" s="151">
        <f>C33+C32+C31+C30</f>
        <v>196.58119658119659</v>
      </c>
    </row>
    <row r="39" spans="1:3" x14ac:dyDescent="0.25">
      <c r="A39" s="99"/>
      <c r="B39" s="99"/>
      <c r="C39" s="100"/>
    </row>
    <row r="40" spans="1:3" x14ac:dyDescent="0.25">
      <c r="A40" s="206" t="s">
        <v>213</v>
      </c>
      <c r="B40" s="206"/>
      <c r="C40" s="206"/>
    </row>
    <row r="41" spans="1:3" ht="15.75" x14ac:dyDescent="0.25">
      <c r="A41" s="126" t="s">
        <v>203</v>
      </c>
      <c r="B41" s="126">
        <v>3</v>
      </c>
      <c r="C41" s="128">
        <f>B41*C26</f>
        <v>1357.7161363636365</v>
      </c>
    </row>
    <row r="42" spans="1:3" ht="15.75" x14ac:dyDescent="0.25">
      <c r="A42" s="126" t="s">
        <v>204</v>
      </c>
      <c r="B42" s="128">
        <v>2</v>
      </c>
      <c r="C42" s="147">
        <f>B42*C38</f>
        <v>393.16239316239319</v>
      </c>
    </row>
    <row r="43" spans="1:3" ht="15.75" x14ac:dyDescent="0.25">
      <c r="A43" s="199" t="s">
        <v>205</v>
      </c>
      <c r="B43" s="200"/>
      <c r="C43" s="148">
        <f>C42+C41</f>
        <v>1750.8785295260295</v>
      </c>
    </row>
    <row r="44" spans="1:3" ht="15.75" x14ac:dyDescent="0.25">
      <c r="A44" s="199" t="s">
        <v>323</v>
      </c>
      <c r="B44" s="200"/>
      <c r="C44" s="148">
        <f>C43*12</f>
        <v>21010.542354312354</v>
      </c>
    </row>
    <row r="45" spans="1:3" ht="15.75" x14ac:dyDescent="0.25">
      <c r="A45" s="199" t="s">
        <v>324</v>
      </c>
      <c r="B45" s="200"/>
      <c r="C45" s="148">
        <f>C43*24</f>
        <v>42021.084708624709</v>
      </c>
    </row>
  </sheetData>
  <mergeCells count="27">
    <mergeCell ref="A14:B14"/>
    <mergeCell ref="A40:C40"/>
    <mergeCell ref="A29:B29"/>
    <mergeCell ref="A38:B38"/>
    <mergeCell ref="A30:B30"/>
    <mergeCell ref="A16:B16"/>
    <mergeCell ref="A26:B26"/>
    <mergeCell ref="A27:C27"/>
    <mergeCell ref="A28:B28"/>
    <mergeCell ref="A17:B17"/>
    <mergeCell ref="A18:B18"/>
    <mergeCell ref="A43:B43"/>
    <mergeCell ref="A44:B44"/>
    <mergeCell ref="A45:B45"/>
    <mergeCell ref="A1:C1"/>
    <mergeCell ref="A3:C3"/>
    <mergeCell ref="A5:B5"/>
    <mergeCell ref="A6:B6"/>
    <mergeCell ref="A10:B10"/>
    <mergeCell ref="A4:B4"/>
    <mergeCell ref="A9:B9"/>
    <mergeCell ref="A7:B7"/>
    <mergeCell ref="A8:C8"/>
    <mergeCell ref="A11:B11"/>
    <mergeCell ref="A12:B12"/>
    <mergeCell ref="A13:B13"/>
    <mergeCell ref="A15:B15"/>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Capa</vt:lpstr>
      <vt:lpstr>Téc. Manutenção</vt:lpstr>
      <vt:lpstr>Téc. Interno</vt:lpstr>
      <vt:lpstr>Aux. Operações Campo</vt:lpstr>
      <vt:lpstr>Aux. Operações Almox.</vt:lpstr>
      <vt:lpstr>Aux. Operações Almox. Emp.</vt:lpstr>
      <vt:lpstr>Encarregados</vt:lpstr>
      <vt:lpstr>Encarregado-geral</vt:lpstr>
      <vt:lpstr>Empilhadeira</vt:lpstr>
      <vt:lpstr>Sistemas Log.</vt:lpstr>
      <vt:lpstr>Zeladoria Sítios</vt:lpstr>
      <vt:lpstr>Inspeção Estruturas</vt:lpstr>
      <vt:lpstr>Implantação da Op.</vt:lpstr>
      <vt:lpstr>Quadro Resumo</vt:lpstr>
      <vt:lpstr>Planilha de Apoio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Cemaden</cp:lastModifiedBy>
  <dcterms:created xsi:type="dcterms:W3CDTF">2018-01-23T19:35:16Z</dcterms:created>
  <dcterms:modified xsi:type="dcterms:W3CDTF">2021-08-09T18:23:22Z</dcterms:modified>
</cp:coreProperties>
</file>